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4385" windowHeight="11760" tabRatio="868"/>
  </bookViews>
  <sheets>
    <sheet name="2016" sheetId="43" r:id="rId1"/>
    <sheet name="2015" sheetId="42" r:id="rId2"/>
    <sheet name="2014" sheetId="39" r:id="rId3"/>
    <sheet name="2013" sheetId="38" r:id="rId4"/>
    <sheet name="2012" sheetId="37" r:id="rId5"/>
    <sheet name="2011" sheetId="36" r:id="rId6"/>
    <sheet name="2010" sheetId="35" r:id="rId7"/>
    <sheet name="2009" sheetId="34" r:id="rId8"/>
    <sheet name="2008" sheetId="33" r:id="rId9"/>
    <sheet name="2007" sheetId="13" r:id="rId10"/>
    <sheet name="2006" sheetId="12" r:id="rId11"/>
    <sheet name="2005" sheetId="11" r:id="rId12"/>
    <sheet name="2004" sheetId="10" r:id="rId13"/>
    <sheet name="2003" sheetId="9" r:id="rId14"/>
    <sheet name="2002" sheetId="3" r:id="rId15"/>
    <sheet name="2001" sheetId="2" r:id="rId16"/>
    <sheet name="2000" sheetId="1" r:id="rId17"/>
  </sheets>
  <definedNames>
    <definedName name="_xlnm.Print_Area" localSheetId="16">'2000'!$A$1:$W$108</definedName>
    <definedName name="_xlnm.Print_Area" localSheetId="15">'2001'!$A$1:$W$111</definedName>
    <definedName name="_xlnm.Print_Area" localSheetId="14">'2002'!$A$1:$W$111</definedName>
    <definedName name="_xlnm.Print_Area" localSheetId="3">'2013'!$A$1:$V$89</definedName>
    <definedName name="_xlnm.Print_Area" localSheetId="2">'2014'!$A$1:$V$90</definedName>
    <definedName name="_xlnm.Print_Area" localSheetId="1">'2015'!$A$1:$V$90</definedName>
    <definedName name="_xlnm.Print_Area" localSheetId="0">'2016'!$A$1:$V$90</definedName>
  </definedNames>
  <calcPr calcId="145621" iterateCount="1" iterateDelta="0"/>
</workbook>
</file>

<file path=xl/calcChain.xml><?xml version="1.0" encoding="utf-8"?>
<calcChain xmlns="http://schemas.openxmlformats.org/spreadsheetml/2006/main">
  <c r="E7" i="43" l="1"/>
  <c r="G43" i="43" l="1"/>
  <c r="H41" i="43" l="1"/>
  <c r="E41" i="43"/>
  <c r="G40" i="43" l="1"/>
  <c r="F40" i="43"/>
  <c r="E39" i="43" l="1"/>
  <c r="G37" i="43" l="1"/>
  <c r="E34" i="43" l="1"/>
  <c r="J30" i="43" l="1"/>
  <c r="G30" i="43"/>
  <c r="J26" i="43" l="1"/>
  <c r="G26" i="43"/>
  <c r="K25" i="43" l="1"/>
  <c r="H25" i="43"/>
  <c r="E25" i="43"/>
  <c r="G23" i="43" l="1"/>
  <c r="E18" i="43" l="1"/>
  <c r="E17" i="43" l="1"/>
  <c r="N16" i="43" l="1"/>
  <c r="K16" i="43"/>
  <c r="H16" i="43"/>
  <c r="E16" i="43"/>
  <c r="E15" i="43" l="1"/>
  <c r="E14" i="43"/>
  <c r="D12" i="43" l="1"/>
  <c r="G11" i="43" l="1"/>
  <c r="E11" i="43"/>
  <c r="E10" i="43"/>
  <c r="G9" i="43" l="1"/>
  <c r="M8" i="43" l="1"/>
  <c r="J8" i="43"/>
  <c r="S6" i="43" l="1"/>
  <c r="T6" i="43" s="1"/>
  <c r="Q6" i="43"/>
  <c r="P6" i="43"/>
  <c r="M6" i="43"/>
  <c r="K6" i="43"/>
  <c r="J6" i="43"/>
  <c r="H6" i="43"/>
  <c r="N6" i="43" s="1"/>
  <c r="G6" i="43"/>
  <c r="W44" i="43" l="1"/>
  <c r="I44" i="43"/>
  <c r="H44" i="43"/>
  <c r="E44" i="43" s="1"/>
  <c r="W43" i="43"/>
  <c r="H43" i="43"/>
  <c r="I43" i="43"/>
  <c r="F43" i="43"/>
  <c r="E43" i="43"/>
  <c r="W42" i="43"/>
  <c r="T42" i="43"/>
  <c r="E42" i="43"/>
  <c r="W41" i="43"/>
  <c r="L41" i="43"/>
  <c r="W40" i="43"/>
  <c r="E40" i="43"/>
  <c r="T40" i="43" s="1"/>
  <c r="W39" i="43"/>
  <c r="T39" i="43"/>
  <c r="W38" i="43"/>
  <c r="E38" i="43"/>
  <c r="W37" i="43"/>
  <c r="E37" i="43"/>
  <c r="T37" i="43" s="1"/>
  <c r="W36" i="43"/>
  <c r="E36" i="43"/>
  <c r="W35" i="43"/>
  <c r="E35" i="43"/>
  <c r="W34" i="43"/>
  <c r="I34" i="43"/>
  <c r="H34" i="43"/>
  <c r="W33" i="43"/>
  <c r="E33" i="43"/>
  <c r="W32" i="43"/>
  <c r="W31" i="43"/>
  <c r="T31" i="43"/>
  <c r="E31" i="43"/>
  <c r="W30" i="43"/>
  <c r="I30" i="43"/>
  <c r="E30" i="43"/>
  <c r="H30" i="43" s="1"/>
  <c r="W29" i="43"/>
  <c r="F29" i="43"/>
  <c r="E29" i="43"/>
  <c r="W28" i="43"/>
  <c r="E28" i="43"/>
  <c r="T28" i="43" s="1"/>
  <c r="W27" i="43"/>
  <c r="T27" i="43"/>
  <c r="W26" i="43"/>
  <c r="K26" i="43"/>
  <c r="L26" i="43"/>
  <c r="I26" i="43"/>
  <c r="W25" i="43"/>
  <c r="L25" i="43"/>
  <c r="G25" i="43"/>
  <c r="I25" i="43" s="1"/>
  <c r="W24" i="43"/>
  <c r="I24" i="43"/>
  <c r="T24" i="43" s="1"/>
  <c r="W23" i="43"/>
  <c r="J23" i="43"/>
  <c r="I23" i="43"/>
  <c r="E23" i="43"/>
  <c r="W22" i="43"/>
  <c r="E22" i="43"/>
  <c r="W21" i="43"/>
  <c r="E21" i="43"/>
  <c r="W20" i="43"/>
  <c r="W19" i="43"/>
  <c r="E19" i="43"/>
  <c r="W18" i="43"/>
  <c r="G18" i="43"/>
  <c r="T18" i="43" s="1"/>
  <c r="W17" i="43"/>
  <c r="I17" i="43"/>
  <c r="T17" i="43" s="1"/>
  <c r="H17" i="43"/>
  <c r="W16" i="43"/>
  <c r="O16" i="43"/>
  <c r="M16" i="43"/>
  <c r="J16" i="43"/>
  <c r="L16" i="43" s="1"/>
  <c r="I16" i="43"/>
  <c r="W15" i="43"/>
  <c r="W14" i="43"/>
  <c r="W13" i="43"/>
  <c r="E13" i="43"/>
  <c r="W12" i="43"/>
  <c r="W11" i="43"/>
  <c r="T11" i="43"/>
  <c r="W10" i="43"/>
  <c r="W9" i="43"/>
  <c r="E9" i="43"/>
  <c r="T9" i="43" s="1"/>
  <c r="W8" i="43"/>
  <c r="K8" i="43"/>
  <c r="L8" i="43"/>
  <c r="I8" i="43"/>
  <c r="E8" i="43"/>
  <c r="H8" i="43" s="1"/>
  <c r="W7" i="43"/>
  <c r="W6" i="43"/>
  <c r="R6" i="43"/>
  <c r="O6" i="43"/>
  <c r="L6" i="43"/>
  <c r="I6" i="43"/>
  <c r="W5" i="43"/>
  <c r="E26" i="43" l="1"/>
  <c r="H26" i="43"/>
  <c r="T23" i="43"/>
  <c r="T8" i="43"/>
  <c r="T30" i="43"/>
  <c r="W27" i="42"/>
  <c r="T27" i="42"/>
  <c r="W27" i="39"/>
  <c r="T27" i="39"/>
  <c r="W27" i="38"/>
  <c r="W28" i="37"/>
  <c r="W28" i="36"/>
  <c r="W29" i="35"/>
  <c r="W29" i="34"/>
  <c r="W28" i="33"/>
  <c r="T28" i="33"/>
  <c r="W28" i="13"/>
  <c r="T28" i="13"/>
  <c r="W28" i="12"/>
  <c r="T28" i="12"/>
  <c r="W28" i="11"/>
  <c r="T28" i="11"/>
  <c r="W28" i="10"/>
  <c r="T28" i="10"/>
  <c r="W29" i="9"/>
  <c r="T29" i="9"/>
  <c r="W29" i="3"/>
  <c r="T29" i="3"/>
  <c r="W28" i="2"/>
  <c r="T28" i="2"/>
  <c r="T28" i="1"/>
  <c r="T38" i="1" l="1"/>
  <c r="J38" i="1"/>
  <c r="H38" i="1"/>
  <c r="G38" i="1"/>
  <c r="F38" i="1"/>
  <c r="E38" i="1"/>
  <c r="W38" i="1"/>
  <c r="I38" i="1"/>
  <c r="T38" i="2"/>
  <c r="J38" i="2"/>
  <c r="G38" i="2"/>
  <c r="F38" i="2"/>
  <c r="W38" i="2" l="1"/>
  <c r="H38" i="2"/>
  <c r="I38" i="2"/>
  <c r="E38" i="2"/>
  <c r="T39" i="3"/>
  <c r="J39" i="3"/>
  <c r="G39" i="3"/>
  <c r="F39" i="3"/>
  <c r="W39" i="3" l="1"/>
  <c r="H39" i="3"/>
  <c r="I39" i="3"/>
  <c r="E39" i="3"/>
  <c r="T39" i="9"/>
  <c r="J39" i="9"/>
  <c r="H39" i="9"/>
  <c r="G39" i="9"/>
  <c r="E39" i="9"/>
  <c r="F39" i="9" l="1"/>
  <c r="M38" i="10"/>
  <c r="J38" i="10"/>
  <c r="G38" i="10"/>
  <c r="W39" i="9" l="1"/>
  <c r="I39" i="9"/>
  <c r="F38" i="10"/>
  <c r="F38" i="11"/>
  <c r="W38" i="10"/>
  <c r="L38" i="10"/>
  <c r="K38" i="10"/>
  <c r="I38" i="10"/>
  <c r="H38" i="10"/>
  <c r="E38" i="10"/>
  <c r="M38" i="11"/>
  <c r="J38" i="11"/>
  <c r="G38" i="11"/>
  <c r="W38" i="11" l="1"/>
  <c r="L38" i="11"/>
  <c r="K38" i="11"/>
  <c r="I38" i="11"/>
  <c r="H38" i="11"/>
  <c r="E38" i="11"/>
  <c r="M38" i="12"/>
  <c r="J38" i="12"/>
  <c r="G38" i="12"/>
  <c r="F38" i="12" l="1"/>
  <c r="W38" i="12"/>
  <c r="L38" i="12"/>
  <c r="K38" i="12"/>
  <c r="I38" i="12"/>
  <c r="H38" i="12"/>
  <c r="E38" i="12"/>
  <c r="M38" i="13"/>
  <c r="J38" i="13"/>
  <c r="G38" i="13"/>
  <c r="F38" i="13" l="1"/>
  <c r="W38" i="13"/>
  <c r="K38" i="13"/>
  <c r="L38" i="13"/>
  <c r="I38" i="13"/>
  <c r="H38" i="13"/>
  <c r="E38" i="13"/>
  <c r="M38" i="33" l="1"/>
  <c r="J38" i="33"/>
  <c r="G38" i="33"/>
  <c r="F38" i="33"/>
  <c r="W38" i="33" l="1"/>
  <c r="K38" i="33"/>
  <c r="L38" i="33"/>
  <c r="H38" i="33"/>
  <c r="I38" i="33"/>
  <c r="E38" i="33"/>
  <c r="M39" i="34"/>
  <c r="J39" i="34"/>
  <c r="G39" i="34"/>
  <c r="F39" i="34"/>
  <c r="W39" i="34" l="1"/>
  <c r="K39" i="34"/>
  <c r="L39" i="34"/>
  <c r="H39" i="34"/>
  <c r="E39" i="34"/>
  <c r="M39" i="35"/>
  <c r="J39" i="35"/>
  <c r="G39" i="35"/>
  <c r="I39" i="34" l="1"/>
  <c r="F39" i="35" l="1"/>
  <c r="L39" i="35"/>
  <c r="K39" i="35"/>
  <c r="I39" i="35"/>
  <c r="H39" i="35"/>
  <c r="E39" i="35"/>
  <c r="M39" i="36"/>
  <c r="J39" i="36"/>
  <c r="H39" i="36"/>
  <c r="G39" i="36"/>
  <c r="F39" i="36"/>
  <c r="K39" i="36" l="1"/>
  <c r="L39" i="36"/>
  <c r="I39" i="36"/>
  <c r="E39" i="36"/>
  <c r="M38" i="37"/>
  <c r="L38" i="37"/>
  <c r="K38" i="37"/>
  <c r="J38" i="37"/>
  <c r="I38" i="37"/>
  <c r="H38" i="37"/>
  <c r="G38" i="37"/>
  <c r="E38" i="37"/>
  <c r="F38" i="37" l="1"/>
  <c r="F37" i="38"/>
  <c r="L42" i="1" l="1"/>
  <c r="K42" i="1"/>
  <c r="H42" i="1" l="1"/>
  <c r="E42" i="1"/>
  <c r="K41" i="39"/>
  <c r="H41" i="42" l="1"/>
  <c r="E41" i="42"/>
  <c r="G43" i="42" l="1"/>
  <c r="F43" i="42"/>
  <c r="G40" i="42" l="1"/>
  <c r="F40" i="42"/>
  <c r="G37" i="42" l="1"/>
  <c r="E37" i="42"/>
  <c r="E34" i="42" l="1"/>
  <c r="H34" i="42" l="1"/>
  <c r="E31" i="42" l="1"/>
  <c r="J30" i="42" l="1"/>
  <c r="G30" i="42"/>
  <c r="F29" i="42" l="1"/>
  <c r="E21" i="42" l="1"/>
  <c r="E21" i="39"/>
  <c r="J26" i="42" l="1"/>
  <c r="G26" i="42"/>
  <c r="E25" i="42" l="1"/>
  <c r="G23" i="42" l="1"/>
  <c r="E23" i="42"/>
  <c r="E22" i="42" l="1"/>
  <c r="E22" i="37" l="1"/>
  <c r="E19" i="42" l="1"/>
  <c r="E18" i="42" l="1"/>
  <c r="H17" i="42" l="1"/>
  <c r="E17" i="42"/>
  <c r="J16" i="42" l="1"/>
  <c r="N16" i="42"/>
  <c r="K16" i="42"/>
  <c r="H16" i="42"/>
  <c r="E16" i="42"/>
  <c r="E15" i="42" l="1"/>
  <c r="E14" i="42"/>
  <c r="E13" i="42" l="1"/>
  <c r="G11" i="42" l="1"/>
  <c r="T11" i="42" s="1"/>
  <c r="G9" i="42" l="1"/>
  <c r="E9" i="42"/>
  <c r="T9" i="42" s="1"/>
  <c r="J8" i="42" l="1"/>
  <c r="M8" i="42"/>
  <c r="K8" i="42"/>
  <c r="E8" i="42"/>
  <c r="H8" i="42" l="1"/>
  <c r="E7" i="42"/>
  <c r="S6" i="42" l="1"/>
  <c r="P6" i="42"/>
  <c r="M6" i="42"/>
  <c r="J6" i="42" l="1"/>
  <c r="G6" i="42"/>
  <c r="W44" i="42" l="1"/>
  <c r="I44" i="42"/>
  <c r="H44" i="42"/>
  <c r="E44" i="42" s="1"/>
  <c r="W43" i="42"/>
  <c r="H43" i="42"/>
  <c r="I43" i="42"/>
  <c r="E43" i="42"/>
  <c r="W42" i="42"/>
  <c r="E42" i="42"/>
  <c r="T42" i="42" s="1"/>
  <c r="W41" i="42"/>
  <c r="L41" i="42"/>
  <c r="W40" i="42"/>
  <c r="E40" i="42"/>
  <c r="T40" i="42" s="1"/>
  <c r="W39" i="42"/>
  <c r="E39" i="42"/>
  <c r="T39" i="42" s="1"/>
  <c r="W38" i="42"/>
  <c r="E38" i="42"/>
  <c r="W37" i="42"/>
  <c r="T37" i="42"/>
  <c r="W36" i="42"/>
  <c r="E36" i="42"/>
  <c r="W35" i="42"/>
  <c r="E35" i="42"/>
  <c r="W34" i="42"/>
  <c r="I34" i="42"/>
  <c r="W33" i="42"/>
  <c r="E33" i="42"/>
  <c r="W32" i="42"/>
  <c r="W31" i="42"/>
  <c r="T31" i="42"/>
  <c r="W30" i="42"/>
  <c r="I30" i="42"/>
  <c r="E30" i="42"/>
  <c r="H30" i="42" s="1"/>
  <c r="W29" i="42"/>
  <c r="E29" i="42"/>
  <c r="W28" i="42"/>
  <c r="E28" i="42"/>
  <c r="T28" i="42" s="1"/>
  <c r="W26" i="42"/>
  <c r="L26" i="42"/>
  <c r="K26" i="42"/>
  <c r="I26" i="42"/>
  <c r="W25" i="42"/>
  <c r="K25" i="42"/>
  <c r="J25" i="42"/>
  <c r="L25" i="42" s="1"/>
  <c r="H25" i="42"/>
  <c r="G25" i="42"/>
  <c r="I25" i="42" s="1"/>
  <c r="W24" i="42"/>
  <c r="I24" i="42"/>
  <c r="T24" i="42" s="1"/>
  <c r="W23" i="42"/>
  <c r="J23" i="42"/>
  <c r="W22" i="42"/>
  <c r="W21" i="42"/>
  <c r="W20" i="42"/>
  <c r="W19" i="42"/>
  <c r="W18" i="42"/>
  <c r="G18" i="42"/>
  <c r="T18" i="42" s="1"/>
  <c r="W17" i="42"/>
  <c r="I17" i="42"/>
  <c r="W16" i="42"/>
  <c r="M16" i="42"/>
  <c r="O16" i="42" s="1"/>
  <c r="L16" i="42"/>
  <c r="I16" i="42"/>
  <c r="W15" i="42"/>
  <c r="W14" i="42"/>
  <c r="W13" i="42"/>
  <c r="W12" i="42"/>
  <c r="W11" i="42"/>
  <c r="W10" i="42"/>
  <c r="W9" i="42"/>
  <c r="W8" i="42"/>
  <c r="L8" i="42"/>
  <c r="I8" i="42"/>
  <c r="T8" i="42" s="1"/>
  <c r="W7" i="42"/>
  <c r="W6" i="42"/>
  <c r="Q6" i="42"/>
  <c r="T6" i="42" s="1"/>
  <c r="R6" i="42"/>
  <c r="N6" i="42"/>
  <c r="O6" i="42"/>
  <c r="L6" i="42"/>
  <c r="K6" i="42"/>
  <c r="I6" i="42"/>
  <c r="H6" i="42"/>
  <c r="W5" i="42"/>
  <c r="H26" i="42" l="1"/>
  <c r="E26" i="42" s="1"/>
  <c r="I23" i="42"/>
  <c r="T23" i="42" s="1"/>
  <c r="T17" i="42"/>
  <c r="T30" i="42"/>
  <c r="W6" i="37"/>
  <c r="W7" i="37"/>
  <c r="W8" i="37"/>
  <c r="W9" i="37"/>
  <c r="W10" i="37"/>
  <c r="W11" i="37"/>
  <c r="W12" i="37"/>
  <c r="W13" i="37"/>
  <c r="W14" i="37"/>
  <c r="W15" i="37"/>
  <c r="W16" i="37"/>
  <c r="W17" i="37"/>
  <c r="W18" i="37"/>
  <c r="W19" i="37"/>
  <c r="W20" i="37"/>
  <c r="W21" i="37"/>
  <c r="W22" i="37"/>
  <c r="W23" i="37"/>
  <c r="W24" i="37"/>
  <c r="W25" i="37"/>
  <c r="W26" i="37"/>
  <c r="W27" i="37"/>
  <c r="W29" i="37"/>
  <c r="W30" i="37"/>
  <c r="W31" i="37"/>
  <c r="W32" i="37"/>
  <c r="W33" i="37"/>
  <c r="W34" i="37"/>
  <c r="W35" i="37"/>
  <c r="W36" i="37"/>
  <c r="W37" i="37"/>
  <c r="W38" i="37"/>
  <c r="W39" i="37"/>
  <c r="W40" i="37"/>
  <c r="W41" i="37"/>
  <c r="W42" i="37"/>
  <c r="W43" i="37"/>
  <c r="W44" i="37"/>
  <c r="W45" i="37"/>
  <c r="W6" i="36"/>
  <c r="W7" i="36"/>
  <c r="W8" i="36"/>
  <c r="W9" i="36"/>
  <c r="W10" i="36"/>
  <c r="W11" i="36"/>
  <c r="W12" i="36"/>
  <c r="W13" i="36"/>
  <c r="W14" i="36"/>
  <c r="W15" i="36"/>
  <c r="W16" i="36"/>
  <c r="W17" i="36"/>
  <c r="W18" i="36"/>
  <c r="W19" i="36"/>
  <c r="W20" i="36"/>
  <c r="W21" i="36"/>
  <c r="W22" i="36"/>
  <c r="W23" i="36"/>
  <c r="W24" i="36"/>
  <c r="W25" i="36"/>
  <c r="W26" i="36"/>
  <c r="W27" i="36"/>
  <c r="W29" i="36"/>
  <c r="W30" i="36"/>
  <c r="W31" i="36"/>
  <c r="W32" i="36"/>
  <c r="W33" i="36"/>
  <c r="W34" i="36"/>
  <c r="W35" i="36"/>
  <c r="W36" i="36"/>
  <c r="W37" i="36"/>
  <c r="W38" i="36"/>
  <c r="W39" i="36"/>
  <c r="W40" i="36"/>
  <c r="W41" i="36"/>
  <c r="W42" i="36"/>
  <c r="W43" i="36"/>
  <c r="W44" i="36"/>
  <c r="W45" i="36"/>
  <c r="W6" i="35"/>
  <c r="W7" i="35"/>
  <c r="W8" i="35"/>
  <c r="W9" i="35"/>
  <c r="W10" i="35"/>
  <c r="W11" i="35"/>
  <c r="W12" i="35"/>
  <c r="W13" i="35"/>
  <c r="W14" i="35"/>
  <c r="W15" i="35"/>
  <c r="W16" i="35"/>
  <c r="W17" i="35"/>
  <c r="W18" i="35"/>
  <c r="W19" i="35"/>
  <c r="W20" i="35"/>
  <c r="W21" i="35"/>
  <c r="W22" i="35"/>
  <c r="W23" i="35"/>
  <c r="W24" i="35"/>
  <c r="W25" i="35"/>
  <c r="W26" i="35"/>
  <c r="W27" i="35"/>
  <c r="W28" i="35"/>
  <c r="W30" i="35"/>
  <c r="W31" i="35"/>
  <c r="W32" i="35"/>
  <c r="W33" i="35"/>
  <c r="W34" i="35"/>
  <c r="W35" i="35"/>
  <c r="W36" i="35"/>
  <c r="W37" i="35"/>
  <c r="W38" i="35"/>
  <c r="W39" i="35"/>
  <c r="W40" i="35"/>
  <c r="W41" i="35"/>
  <c r="W42" i="35"/>
  <c r="W43" i="35"/>
  <c r="W44" i="35"/>
  <c r="W45" i="35"/>
  <c r="W6" i="34"/>
  <c r="W7" i="34"/>
  <c r="W8" i="34"/>
  <c r="W9" i="34"/>
  <c r="W10" i="34"/>
  <c r="W11" i="34"/>
  <c r="W12" i="34"/>
  <c r="W13" i="34"/>
  <c r="W14" i="34"/>
  <c r="W15" i="34"/>
  <c r="W16" i="34"/>
  <c r="W17" i="34"/>
  <c r="W18" i="34"/>
  <c r="W19" i="34"/>
  <c r="W20" i="34"/>
  <c r="W21" i="34"/>
  <c r="W22" i="34"/>
  <c r="W23" i="34"/>
  <c r="W24" i="34"/>
  <c r="W25" i="34"/>
  <c r="W26" i="34"/>
  <c r="W27" i="34"/>
  <c r="W28" i="34"/>
  <c r="W30" i="34"/>
  <c r="W31" i="34"/>
  <c r="W32" i="34"/>
  <c r="W33" i="34"/>
  <c r="W34" i="34"/>
  <c r="W35" i="34"/>
  <c r="W36" i="34"/>
  <c r="W37" i="34"/>
  <c r="W38" i="34"/>
  <c r="W40" i="34"/>
  <c r="W41" i="34"/>
  <c r="W42" i="34"/>
  <c r="W43" i="34"/>
  <c r="W44" i="34"/>
  <c r="W45" i="34"/>
  <c r="W6" i="33"/>
  <c r="W7" i="33"/>
  <c r="W8" i="33"/>
  <c r="W9" i="33"/>
  <c r="W10" i="33"/>
  <c r="W11" i="33"/>
  <c r="W12" i="33"/>
  <c r="W13" i="33"/>
  <c r="W14" i="33"/>
  <c r="W15" i="33"/>
  <c r="W16" i="33"/>
  <c r="W17" i="33"/>
  <c r="W18" i="33"/>
  <c r="W19" i="33"/>
  <c r="W20" i="33"/>
  <c r="W21" i="33"/>
  <c r="W22" i="33"/>
  <c r="W23" i="33"/>
  <c r="W24" i="33"/>
  <c r="W25" i="33"/>
  <c r="W26" i="33"/>
  <c r="W27" i="33"/>
  <c r="W29" i="33"/>
  <c r="W30" i="33"/>
  <c r="W31" i="33"/>
  <c r="W32" i="33"/>
  <c r="W33" i="33"/>
  <c r="W34" i="33"/>
  <c r="W35" i="33"/>
  <c r="W36" i="33"/>
  <c r="W37" i="33"/>
  <c r="W39" i="33"/>
  <c r="W40" i="33"/>
  <c r="W41" i="33"/>
  <c r="W42" i="33"/>
  <c r="W43" i="33"/>
  <c r="W44" i="33"/>
  <c r="W45" i="33"/>
  <c r="W6" i="13"/>
  <c r="W7" i="13"/>
  <c r="W8" i="13"/>
  <c r="W9" i="13"/>
  <c r="W10" i="13"/>
  <c r="W11" i="13"/>
  <c r="W12" i="13"/>
  <c r="W13" i="13"/>
  <c r="W14" i="13"/>
  <c r="W15" i="13"/>
  <c r="W16" i="13"/>
  <c r="W17" i="13"/>
  <c r="W18" i="13"/>
  <c r="W19" i="13"/>
  <c r="W20" i="13"/>
  <c r="W21" i="13"/>
  <c r="W22" i="13"/>
  <c r="W23" i="13"/>
  <c r="W24" i="13"/>
  <c r="W25" i="13"/>
  <c r="W26" i="13"/>
  <c r="W27" i="13"/>
  <c r="W29" i="13"/>
  <c r="W30" i="13"/>
  <c r="W31" i="13"/>
  <c r="W32" i="13"/>
  <c r="W33" i="13"/>
  <c r="W34" i="13"/>
  <c r="W35" i="13"/>
  <c r="W36" i="13"/>
  <c r="W37" i="13"/>
  <c r="W39" i="13"/>
  <c r="W40" i="13"/>
  <c r="W41" i="13"/>
  <c r="W42" i="13"/>
  <c r="W43" i="13"/>
  <c r="W44" i="13"/>
  <c r="W45" i="13"/>
  <c r="W6" i="12"/>
  <c r="W7" i="12"/>
  <c r="W8" i="12"/>
  <c r="W9" i="12"/>
  <c r="W10" i="12"/>
  <c r="W11" i="12"/>
  <c r="W12" i="12"/>
  <c r="W13" i="12"/>
  <c r="W14" i="12"/>
  <c r="W15" i="12"/>
  <c r="W16" i="12"/>
  <c r="W17" i="12"/>
  <c r="W18" i="12"/>
  <c r="W19" i="12"/>
  <c r="W20" i="12"/>
  <c r="W21" i="12"/>
  <c r="W22" i="12"/>
  <c r="W23" i="12"/>
  <c r="W24" i="12"/>
  <c r="W25" i="12"/>
  <c r="W26" i="12"/>
  <c r="W27" i="12"/>
  <c r="W29" i="12"/>
  <c r="W30" i="12"/>
  <c r="W31" i="12"/>
  <c r="W32" i="12"/>
  <c r="W33" i="12"/>
  <c r="W34" i="12"/>
  <c r="W35" i="12"/>
  <c r="W36" i="12"/>
  <c r="W37" i="12"/>
  <c r="W39" i="12"/>
  <c r="W40" i="12"/>
  <c r="W41" i="12"/>
  <c r="W42" i="12"/>
  <c r="W43" i="12"/>
  <c r="W44" i="12"/>
  <c r="W45" i="12"/>
  <c r="W6" i="11"/>
  <c r="W7" i="11"/>
  <c r="W8" i="11"/>
  <c r="W9" i="11"/>
  <c r="W10" i="11"/>
  <c r="W11" i="11"/>
  <c r="W12" i="11"/>
  <c r="W13" i="11"/>
  <c r="W14" i="11"/>
  <c r="W15" i="11"/>
  <c r="W16" i="11"/>
  <c r="W17" i="11"/>
  <c r="W18" i="11"/>
  <c r="W19" i="11"/>
  <c r="W20" i="11"/>
  <c r="W21" i="11"/>
  <c r="W22" i="11"/>
  <c r="W23" i="11"/>
  <c r="W24" i="11"/>
  <c r="W25" i="11"/>
  <c r="W26" i="11"/>
  <c r="W27" i="11"/>
  <c r="W29" i="11"/>
  <c r="W30" i="11"/>
  <c r="W31" i="11"/>
  <c r="W32" i="11"/>
  <c r="W33" i="11"/>
  <c r="W34" i="11"/>
  <c r="W35" i="11"/>
  <c r="W36" i="11"/>
  <c r="W37" i="11"/>
  <c r="W39" i="11"/>
  <c r="W40" i="11"/>
  <c r="W41" i="11"/>
  <c r="W42" i="11"/>
  <c r="W43" i="11"/>
  <c r="W44" i="11"/>
  <c r="W45" i="11"/>
  <c r="W6" i="10"/>
  <c r="W7" i="10"/>
  <c r="W8" i="10"/>
  <c r="W9" i="10"/>
  <c r="W10" i="10"/>
  <c r="W11" i="10"/>
  <c r="W12" i="10"/>
  <c r="W13" i="10"/>
  <c r="W14" i="10"/>
  <c r="W15" i="10"/>
  <c r="W16" i="10"/>
  <c r="W17" i="10"/>
  <c r="W18" i="10"/>
  <c r="W19" i="10"/>
  <c r="W20" i="10"/>
  <c r="W21" i="10"/>
  <c r="W22" i="10"/>
  <c r="W23" i="10"/>
  <c r="W24" i="10"/>
  <c r="W25" i="10"/>
  <c r="W26" i="10"/>
  <c r="W27" i="10"/>
  <c r="W29" i="10"/>
  <c r="W30" i="10"/>
  <c r="W31" i="10"/>
  <c r="W32" i="10"/>
  <c r="W33" i="10"/>
  <c r="W34" i="10"/>
  <c r="W35" i="10"/>
  <c r="W36" i="10"/>
  <c r="W37" i="10"/>
  <c r="W39" i="10"/>
  <c r="W40" i="10"/>
  <c r="W41" i="10"/>
  <c r="W42" i="10"/>
  <c r="W43" i="10"/>
  <c r="W44" i="10"/>
  <c r="W45" i="10"/>
  <c r="W6" i="9"/>
  <c r="W7" i="9"/>
  <c r="W8" i="9"/>
  <c r="W9" i="9"/>
  <c r="W10" i="9"/>
  <c r="W11" i="9"/>
  <c r="W12" i="9"/>
  <c r="W13" i="9"/>
  <c r="W14" i="9"/>
  <c r="W15" i="9"/>
  <c r="W16" i="9"/>
  <c r="W17" i="9"/>
  <c r="W18" i="9"/>
  <c r="W19" i="9"/>
  <c r="W20" i="9"/>
  <c r="W21" i="9"/>
  <c r="W22" i="9"/>
  <c r="W23" i="9"/>
  <c r="W24" i="9"/>
  <c r="W25" i="9"/>
  <c r="W26" i="9"/>
  <c r="W27" i="9"/>
  <c r="W28" i="9"/>
  <c r="W30" i="9"/>
  <c r="W31" i="9"/>
  <c r="W32" i="9"/>
  <c r="W33" i="9"/>
  <c r="W34" i="9"/>
  <c r="W35" i="9"/>
  <c r="W36" i="9"/>
  <c r="W37" i="9"/>
  <c r="W38" i="9"/>
  <c r="W40" i="9"/>
  <c r="W41" i="9"/>
  <c r="W42" i="9"/>
  <c r="W43" i="9"/>
  <c r="W44" i="9"/>
  <c r="W45" i="9"/>
  <c r="W46" i="9"/>
  <c r="W6" i="3"/>
  <c r="W7" i="3"/>
  <c r="W8" i="3"/>
  <c r="W9" i="3"/>
  <c r="W10" i="3"/>
  <c r="W11" i="3"/>
  <c r="W12" i="3"/>
  <c r="W13" i="3"/>
  <c r="W14" i="3"/>
  <c r="W15" i="3"/>
  <c r="W16" i="3"/>
  <c r="W17" i="3"/>
  <c r="W18" i="3"/>
  <c r="W19" i="3"/>
  <c r="W20" i="3"/>
  <c r="W21" i="3"/>
  <c r="W22" i="3"/>
  <c r="W23" i="3"/>
  <c r="W24" i="3"/>
  <c r="W25" i="3"/>
  <c r="W26" i="3"/>
  <c r="W27" i="3"/>
  <c r="W28" i="3"/>
  <c r="W30" i="3"/>
  <c r="W31" i="3"/>
  <c r="W32" i="3"/>
  <c r="W33" i="3"/>
  <c r="W34" i="3"/>
  <c r="W35" i="3"/>
  <c r="W36" i="3"/>
  <c r="W37" i="3"/>
  <c r="W38" i="3"/>
  <c r="W40" i="3"/>
  <c r="W41" i="3"/>
  <c r="W42" i="3"/>
  <c r="W43" i="3"/>
  <c r="W44" i="3"/>
  <c r="W45" i="3"/>
  <c r="W46" i="3"/>
  <c r="W6" i="2"/>
  <c r="W7" i="2"/>
  <c r="W8" i="2"/>
  <c r="W9" i="2"/>
  <c r="W10" i="2"/>
  <c r="W11" i="2"/>
  <c r="W12" i="2"/>
  <c r="W13" i="2"/>
  <c r="W14" i="2"/>
  <c r="W15" i="2"/>
  <c r="W16" i="2"/>
  <c r="W17" i="2"/>
  <c r="W18" i="2"/>
  <c r="W19" i="2"/>
  <c r="W20" i="2"/>
  <c r="W21" i="2"/>
  <c r="W22" i="2"/>
  <c r="W23" i="2"/>
  <c r="W24" i="2"/>
  <c r="W25" i="2"/>
  <c r="W26" i="2"/>
  <c r="W27" i="2"/>
  <c r="W29" i="2"/>
  <c r="W30" i="2"/>
  <c r="W31" i="2"/>
  <c r="W32" i="2"/>
  <c r="W33" i="2"/>
  <c r="W34" i="2"/>
  <c r="W35" i="2"/>
  <c r="W36" i="2"/>
  <c r="W37" i="2"/>
  <c r="W39" i="2"/>
  <c r="W40" i="2"/>
  <c r="W41" i="2"/>
  <c r="W42" i="2"/>
  <c r="W43" i="2"/>
  <c r="W44" i="2"/>
  <c r="W45" i="2"/>
  <c r="W46" i="2"/>
  <c r="W6" i="1"/>
  <c r="W7" i="1"/>
  <c r="W8" i="1"/>
  <c r="W9" i="1"/>
  <c r="W10" i="1"/>
  <c r="W11" i="1"/>
  <c r="W12" i="1"/>
  <c r="W13" i="1"/>
  <c r="W14" i="1"/>
  <c r="W15" i="1"/>
  <c r="W16" i="1"/>
  <c r="W17" i="1"/>
  <c r="W18" i="1"/>
  <c r="W19" i="1"/>
  <c r="W20" i="1"/>
  <c r="W21" i="1"/>
  <c r="W22" i="1"/>
  <c r="W23" i="1"/>
  <c r="W24" i="1"/>
  <c r="W25" i="1"/>
  <c r="W26" i="1"/>
  <c r="W27" i="1"/>
  <c r="W29" i="1"/>
  <c r="W30" i="1"/>
  <c r="W31" i="1"/>
  <c r="W32" i="1"/>
  <c r="W33" i="1"/>
  <c r="W34" i="1"/>
  <c r="W35" i="1"/>
  <c r="W36" i="1"/>
  <c r="W37" i="1"/>
  <c r="W39" i="1"/>
  <c r="W40" i="1"/>
  <c r="W41" i="1"/>
  <c r="W42" i="1"/>
  <c r="W43" i="1"/>
  <c r="W44" i="1"/>
  <c r="W45" i="1"/>
  <c r="W6" i="38"/>
  <c r="W7" i="38"/>
  <c r="W8" i="38"/>
  <c r="W9" i="38"/>
  <c r="W10" i="38"/>
  <c r="W11" i="38"/>
  <c r="W12" i="38"/>
  <c r="W13" i="38"/>
  <c r="W14" i="38"/>
  <c r="W15" i="38"/>
  <c r="W16" i="38"/>
  <c r="W17" i="38"/>
  <c r="W18" i="38"/>
  <c r="W19" i="38"/>
  <c r="W20" i="38"/>
  <c r="W21" i="38"/>
  <c r="W22" i="38"/>
  <c r="W23" i="38"/>
  <c r="W24" i="38"/>
  <c r="W25" i="38"/>
  <c r="W26" i="38"/>
  <c r="W28" i="38"/>
  <c r="W29" i="38"/>
  <c r="W30" i="38"/>
  <c r="W31" i="38"/>
  <c r="W32" i="38"/>
  <c r="W33" i="38"/>
  <c r="W34" i="38"/>
  <c r="W35" i="38"/>
  <c r="W36" i="38"/>
  <c r="W37" i="38"/>
  <c r="W38" i="38"/>
  <c r="W39" i="38"/>
  <c r="W40" i="38"/>
  <c r="W41" i="38"/>
  <c r="W42" i="38"/>
  <c r="W43" i="38"/>
  <c r="W44" i="38"/>
  <c r="W45" i="38"/>
  <c r="W46" i="38"/>
  <c r="W47" i="38"/>
  <c r="W5" i="37"/>
  <c r="W5" i="36"/>
  <c r="W5" i="35"/>
  <c r="W5" i="34"/>
  <c r="W5" i="33"/>
  <c r="W5" i="13"/>
  <c r="W5" i="12"/>
  <c r="W5" i="11"/>
  <c r="W5" i="10"/>
  <c r="W5" i="9"/>
  <c r="W5" i="3"/>
  <c r="W5" i="2"/>
  <c r="W5" i="1"/>
  <c r="W5" i="38"/>
  <c r="W5" i="39"/>
  <c r="W7" i="39"/>
  <c r="W8" i="39"/>
  <c r="W9" i="39"/>
  <c r="W10" i="39"/>
  <c r="W11" i="39"/>
  <c r="W12" i="39"/>
  <c r="W13" i="39"/>
  <c r="W14" i="39"/>
  <c r="W15" i="39"/>
  <c r="W16" i="39"/>
  <c r="W17" i="39"/>
  <c r="W18" i="39"/>
  <c r="W19" i="39"/>
  <c r="W20" i="39"/>
  <c r="W21" i="39"/>
  <c r="W22" i="39"/>
  <c r="W23" i="39"/>
  <c r="W24" i="39"/>
  <c r="W25" i="39"/>
  <c r="W26" i="39"/>
  <c r="W28" i="39"/>
  <c r="W29" i="39"/>
  <c r="W30" i="39"/>
  <c r="W31" i="39"/>
  <c r="W32" i="39"/>
  <c r="W33" i="39"/>
  <c r="W34" i="39"/>
  <c r="W35" i="39"/>
  <c r="W36" i="39"/>
  <c r="W37" i="39"/>
  <c r="W38" i="39"/>
  <c r="W39" i="39"/>
  <c r="W40" i="39"/>
  <c r="W41" i="39"/>
  <c r="W42" i="39"/>
  <c r="W43" i="39"/>
  <c r="W44" i="39"/>
  <c r="W6" i="39"/>
  <c r="E8" i="1" l="1"/>
  <c r="H8" i="1" s="1"/>
  <c r="K8" i="1"/>
  <c r="K23" i="34" l="1"/>
  <c r="H23" i="35" l="1"/>
  <c r="K6" i="35"/>
  <c r="J6" i="35"/>
  <c r="H6" i="35"/>
  <c r="I16" i="37"/>
  <c r="I8" i="37"/>
  <c r="N6" i="37"/>
  <c r="H44" i="38"/>
  <c r="I44" i="38"/>
  <c r="L41" i="38"/>
  <c r="I41" i="38"/>
  <c r="H34" i="38"/>
  <c r="I34" i="38"/>
  <c r="I24" i="38"/>
  <c r="T24" i="38" s="1"/>
  <c r="H23" i="38"/>
  <c r="I17" i="38"/>
  <c r="H16" i="38"/>
  <c r="I16" i="38"/>
  <c r="I8" i="38"/>
  <c r="H6" i="38"/>
  <c r="I44" i="39"/>
  <c r="I41" i="39"/>
  <c r="I34" i="39"/>
  <c r="I24" i="39"/>
  <c r="T24" i="39" s="1"/>
  <c r="I17" i="39"/>
  <c r="I16" i="39"/>
  <c r="I8" i="39"/>
  <c r="E21" i="38" l="1"/>
  <c r="E43" i="37" l="1"/>
  <c r="T43" i="37" s="1"/>
  <c r="E44" i="36" l="1"/>
  <c r="E44" i="35" l="1"/>
  <c r="T44" i="35" s="1"/>
  <c r="G37" i="38" l="1"/>
  <c r="T37" i="38" s="1"/>
  <c r="F44" i="34" l="1"/>
  <c r="T43" i="33" l="1"/>
  <c r="F43" i="33"/>
  <c r="F43" i="13"/>
  <c r="F43" i="12" l="1"/>
  <c r="F43" i="11" l="1"/>
  <c r="F43" i="10"/>
  <c r="F44" i="9"/>
  <c r="F44" i="3" l="1"/>
  <c r="F43" i="2"/>
  <c r="T43" i="2" l="1"/>
  <c r="F43" i="1" l="1"/>
  <c r="F41" i="1"/>
  <c r="E31" i="37" l="1"/>
  <c r="H31" i="37" l="1"/>
  <c r="E32" i="36"/>
  <c r="H32" i="36" l="1"/>
  <c r="E32" i="35"/>
  <c r="H32" i="35" l="1"/>
  <c r="E32" i="34"/>
  <c r="H32" i="34" l="1"/>
  <c r="J31" i="13"/>
  <c r="L31" i="13" s="1"/>
  <c r="K31" i="13"/>
  <c r="E31" i="13"/>
  <c r="K31" i="12"/>
  <c r="E31" i="12"/>
  <c r="K31" i="11"/>
  <c r="E31" i="11"/>
  <c r="J31" i="11"/>
  <c r="L31" i="11" s="1"/>
  <c r="J31" i="12"/>
  <c r="L31" i="12" s="1"/>
  <c r="K31" i="10"/>
  <c r="E31" i="10"/>
  <c r="J31" i="10"/>
  <c r="L31" i="10" s="1"/>
  <c r="K32" i="9"/>
  <c r="E32" i="9"/>
  <c r="J32" i="9"/>
  <c r="L32" i="9" s="1"/>
  <c r="K32" i="3"/>
  <c r="E32" i="3"/>
  <c r="J32" i="3"/>
  <c r="L32" i="3" s="1"/>
  <c r="J31" i="2"/>
  <c r="L31" i="2" s="1"/>
  <c r="K31" i="2"/>
  <c r="E31" i="2"/>
  <c r="H31" i="2" l="1"/>
  <c r="H32" i="3"/>
  <c r="H32" i="9"/>
  <c r="H31" i="10"/>
  <c r="H31" i="11"/>
  <c r="H31" i="12"/>
  <c r="H31" i="13"/>
  <c r="L31" i="1"/>
  <c r="K31" i="1"/>
  <c r="J31" i="1"/>
  <c r="E31" i="1"/>
  <c r="H31" i="1" l="1"/>
  <c r="H45" i="37"/>
  <c r="E45" i="37" s="1"/>
  <c r="I46" i="36"/>
  <c r="H46" i="36"/>
  <c r="E46" i="36" s="1"/>
  <c r="I46" i="35" l="1"/>
  <c r="H46" i="35"/>
  <c r="E46" i="35" s="1"/>
  <c r="I46" i="34"/>
  <c r="H46" i="34"/>
  <c r="E46" i="34" s="1"/>
  <c r="I45" i="33"/>
  <c r="H45" i="33"/>
  <c r="E45" i="33" s="1"/>
  <c r="I45" i="13"/>
  <c r="H45" i="13"/>
  <c r="E45" i="13" s="1"/>
  <c r="I45" i="12"/>
  <c r="H45" i="12"/>
  <c r="E45" i="12" s="1"/>
  <c r="I45" i="11"/>
  <c r="H45" i="11" l="1"/>
  <c r="E45" i="11" s="1"/>
  <c r="I45" i="10"/>
  <c r="H45" i="10"/>
  <c r="E45" i="10" s="1"/>
  <c r="I46" i="9"/>
  <c r="H46" i="9"/>
  <c r="E46" i="9" s="1"/>
  <c r="I46" i="3"/>
  <c r="H46" i="3" l="1"/>
  <c r="E46" i="3" s="1"/>
  <c r="I45" i="2"/>
  <c r="H45" i="2"/>
  <c r="E45" i="2" s="1"/>
  <c r="I45" i="1" l="1"/>
  <c r="H45" i="1"/>
  <c r="E45" i="1" s="1"/>
  <c r="E44" i="37" l="1"/>
  <c r="E45" i="36"/>
  <c r="H44" i="37"/>
  <c r="H45" i="36"/>
  <c r="H45" i="35"/>
  <c r="E45" i="35"/>
  <c r="H45" i="34"/>
  <c r="E45" i="34"/>
  <c r="H44" i="33"/>
  <c r="E44" i="33"/>
  <c r="H44" i="13"/>
  <c r="E44" i="13"/>
  <c r="H44" i="12" l="1"/>
  <c r="E44" i="12"/>
  <c r="H44" i="11"/>
  <c r="E44" i="11"/>
  <c r="H44" i="10"/>
  <c r="E44" i="10"/>
  <c r="H45" i="9"/>
  <c r="E45" i="9"/>
  <c r="E45" i="3"/>
  <c r="E44" i="1"/>
  <c r="E44" i="2"/>
  <c r="E43" i="1" l="1"/>
  <c r="T43" i="1" s="1"/>
  <c r="I43" i="35" l="1"/>
  <c r="H43" i="35"/>
  <c r="E43" i="35" s="1"/>
  <c r="I43" i="34" l="1"/>
  <c r="H43" i="34"/>
  <c r="E43" i="34" s="1"/>
  <c r="I42" i="33" l="1"/>
  <c r="H42" i="33"/>
  <c r="E42" i="33" s="1"/>
  <c r="I42" i="13" l="1"/>
  <c r="H42" i="13"/>
  <c r="E42" i="13" s="1"/>
  <c r="I42" i="12" l="1"/>
  <c r="H42" i="12" l="1"/>
  <c r="E42" i="12" s="1"/>
  <c r="I42" i="11"/>
  <c r="H42" i="11"/>
  <c r="E42" i="11" s="1"/>
  <c r="I42" i="10" l="1"/>
  <c r="H42" i="10"/>
  <c r="E42" i="10" s="1"/>
  <c r="L43" i="9" l="1"/>
  <c r="I43" i="9"/>
  <c r="K43" i="9"/>
  <c r="L43" i="3"/>
  <c r="I43" i="3"/>
  <c r="K43" i="3"/>
  <c r="H43" i="3" s="1"/>
  <c r="L42" i="2"/>
  <c r="I42" i="2"/>
  <c r="K42" i="2"/>
  <c r="E42" i="2" s="1"/>
  <c r="E43" i="9" l="1"/>
  <c r="H43" i="9"/>
  <c r="H42" i="2"/>
  <c r="E43" i="3"/>
  <c r="I42" i="1"/>
  <c r="E41" i="37" l="1"/>
  <c r="E42" i="36" l="1"/>
  <c r="E42" i="35"/>
  <c r="E42" i="34"/>
  <c r="E41" i="33"/>
  <c r="E41" i="13"/>
  <c r="E41" i="12"/>
  <c r="E41" i="11" l="1"/>
  <c r="F41" i="10"/>
  <c r="E41" i="10"/>
  <c r="E42" i="9"/>
  <c r="G42" i="3"/>
  <c r="E42" i="3"/>
  <c r="F41" i="2" l="1"/>
  <c r="E41" i="2"/>
  <c r="E41" i="1" l="1"/>
  <c r="E40" i="37" l="1"/>
  <c r="E41" i="36" l="1"/>
  <c r="E41" i="35"/>
  <c r="T41" i="35" s="1"/>
  <c r="E41" i="34"/>
  <c r="E40" i="33" l="1"/>
  <c r="E40" i="13" l="1"/>
  <c r="E40" i="12" l="1"/>
  <c r="E40" i="11" l="1"/>
  <c r="E40" i="10" l="1"/>
  <c r="E41" i="9" l="1"/>
  <c r="T41" i="9" s="1"/>
  <c r="E41" i="3" l="1"/>
  <c r="E40" i="2" l="1"/>
  <c r="E40" i="1"/>
  <c r="T40" i="1" l="1"/>
  <c r="E38" i="38" l="1"/>
  <c r="E39" i="37" l="1"/>
  <c r="E40" i="36"/>
  <c r="E40" i="35"/>
  <c r="E40" i="34"/>
  <c r="E39" i="33"/>
  <c r="E39" i="13"/>
  <c r="E39" i="12"/>
  <c r="E39" i="11" l="1"/>
  <c r="E39" i="10"/>
  <c r="E40" i="9"/>
  <c r="E40" i="3"/>
  <c r="E39" i="2"/>
  <c r="E39" i="1"/>
  <c r="E36" i="38" l="1"/>
  <c r="E37" i="37" l="1"/>
  <c r="E38" i="36" l="1"/>
  <c r="E38" i="35" l="1"/>
  <c r="E38" i="34"/>
  <c r="E37" i="33"/>
  <c r="E37" i="13"/>
  <c r="E37" i="12"/>
  <c r="E37" i="11"/>
  <c r="E37" i="10"/>
  <c r="E38" i="9"/>
  <c r="E38" i="3"/>
  <c r="E37" i="2"/>
  <c r="E37" i="1"/>
  <c r="E34" i="38" l="1"/>
  <c r="E35" i="38"/>
  <c r="E35" i="37" l="1"/>
  <c r="H35" i="37"/>
  <c r="E36" i="37"/>
  <c r="E36" i="36" l="1"/>
  <c r="H36" i="36"/>
  <c r="E37" i="36"/>
  <c r="E36" i="35"/>
  <c r="H36" i="35"/>
  <c r="E37" i="35"/>
  <c r="E37" i="34"/>
  <c r="H36" i="34"/>
  <c r="E36" i="34"/>
  <c r="E35" i="33"/>
  <c r="E36" i="33"/>
  <c r="H35" i="33"/>
  <c r="E35" i="13"/>
  <c r="E36" i="13"/>
  <c r="H35" i="13" l="1"/>
  <c r="E35" i="12" l="1"/>
  <c r="E36" i="12" l="1"/>
  <c r="H35" i="12"/>
  <c r="E35" i="11"/>
  <c r="H35" i="11"/>
  <c r="E36" i="11"/>
  <c r="E36" i="10"/>
  <c r="E37" i="9" l="1"/>
  <c r="H35" i="10" l="1"/>
  <c r="E35" i="10"/>
  <c r="H36" i="9"/>
  <c r="E36" i="9"/>
  <c r="E37" i="3"/>
  <c r="H36" i="3"/>
  <c r="E36" i="3"/>
  <c r="E36" i="2" l="1"/>
  <c r="H35" i="2" l="1"/>
  <c r="E35" i="2"/>
  <c r="E35" i="1"/>
  <c r="H35" i="1"/>
  <c r="E36" i="1"/>
  <c r="J26" i="39" l="1"/>
  <c r="L26" i="39" s="1"/>
  <c r="G26" i="39"/>
  <c r="I26" i="39" s="1"/>
  <c r="K26" i="39"/>
  <c r="H26" i="39" s="1"/>
  <c r="G28" i="35" l="1"/>
  <c r="J26" i="38"/>
  <c r="L26" i="38" s="1"/>
  <c r="G26" i="38"/>
  <c r="I26" i="38" s="1"/>
  <c r="K26" i="38"/>
  <c r="H26" i="38" s="1"/>
  <c r="E26" i="38" s="1"/>
  <c r="J27" i="37" l="1"/>
  <c r="L27" i="37" s="1"/>
  <c r="G27" i="37"/>
  <c r="I27" i="37" s="1"/>
  <c r="K27" i="37"/>
  <c r="H27" i="37" s="1"/>
  <c r="E27" i="37" s="1"/>
  <c r="J27" i="36" l="1"/>
  <c r="L27" i="36" s="1"/>
  <c r="G27" i="36"/>
  <c r="I27" i="36" s="1"/>
  <c r="K27" i="36"/>
  <c r="H27" i="36" l="1"/>
  <c r="E27" i="36" s="1"/>
  <c r="J28" i="35"/>
  <c r="L28" i="35" s="1"/>
  <c r="K28" i="35"/>
  <c r="H28" i="35" s="1"/>
  <c r="E28" i="35" s="1"/>
  <c r="I28" i="35"/>
  <c r="J28" i="34" l="1"/>
  <c r="L28" i="34" s="1"/>
  <c r="G28" i="34"/>
  <c r="I28" i="34" s="1"/>
  <c r="K28" i="34"/>
  <c r="H28" i="34" s="1"/>
  <c r="J27" i="33" l="1"/>
  <c r="G27" i="33"/>
  <c r="K27" i="33"/>
  <c r="H27" i="33" s="1"/>
  <c r="L27" i="33" l="1"/>
  <c r="I27" i="33"/>
  <c r="J27" i="13"/>
  <c r="G27" i="13"/>
  <c r="K27" i="13"/>
  <c r="H27" i="13" s="1"/>
  <c r="E27" i="13" s="1"/>
  <c r="L27" i="13" l="1"/>
  <c r="I27" i="13"/>
  <c r="J27" i="12"/>
  <c r="G27" i="12"/>
  <c r="K27" i="12"/>
  <c r="H27" i="12" s="1"/>
  <c r="E27" i="12" s="1"/>
  <c r="L27" i="12" l="1"/>
  <c r="I27" i="12"/>
  <c r="J27" i="11"/>
  <c r="G27" i="11"/>
  <c r="K27" i="11"/>
  <c r="H27" i="11" s="1"/>
  <c r="E27" i="11" s="1"/>
  <c r="L27" i="11" l="1"/>
  <c r="I27" i="11"/>
  <c r="J27" i="10"/>
  <c r="L27" i="10" s="1"/>
  <c r="G27" i="10"/>
  <c r="I27" i="10" s="1"/>
  <c r="K27" i="10" l="1"/>
  <c r="H27" i="10" l="1"/>
  <c r="E27" i="10" s="1"/>
  <c r="K28" i="9"/>
  <c r="H28" i="9" s="1"/>
  <c r="J28" i="9"/>
  <c r="G28" i="9"/>
  <c r="L28" i="9" l="1"/>
  <c r="I28" i="9"/>
  <c r="J28" i="3"/>
  <c r="L28" i="3" s="1"/>
  <c r="G28" i="3"/>
  <c r="I28" i="3" s="1"/>
  <c r="K28" i="3"/>
  <c r="H28" i="3" s="1"/>
  <c r="E19" i="1" l="1"/>
  <c r="I35" i="1"/>
  <c r="E33" i="38"/>
  <c r="E34" i="37" l="1"/>
  <c r="E35" i="36" l="1"/>
  <c r="E35" i="35"/>
  <c r="E35" i="34"/>
  <c r="E34" i="33"/>
  <c r="E34" i="13"/>
  <c r="E34" i="12"/>
  <c r="E34" i="11" l="1"/>
  <c r="E34" i="10"/>
  <c r="E35" i="9"/>
  <c r="E35" i="3"/>
  <c r="E34" i="2"/>
  <c r="E34" i="1" l="1"/>
  <c r="E32" i="37" l="1"/>
  <c r="T32" i="37" s="1"/>
  <c r="E33" i="36" l="1"/>
  <c r="E33" i="35"/>
  <c r="E33" i="34"/>
  <c r="E32" i="33"/>
  <c r="E32" i="13"/>
  <c r="E32" i="12"/>
  <c r="E32" i="11" l="1"/>
  <c r="E32" i="10"/>
  <c r="T32" i="10" s="1"/>
  <c r="E33" i="9"/>
  <c r="E33" i="3"/>
  <c r="E32" i="2"/>
  <c r="T32" i="2" s="1"/>
  <c r="E32" i="1"/>
  <c r="T32" i="1"/>
  <c r="M31" i="2" l="1"/>
  <c r="G31" i="1" l="1"/>
  <c r="F30" i="37"/>
  <c r="E29" i="37"/>
  <c r="T29" i="37" s="1"/>
  <c r="E30" i="37"/>
  <c r="F30" i="36"/>
  <c r="E29" i="36"/>
  <c r="E30" i="36"/>
  <c r="E31" i="36"/>
  <c r="I31" i="1" l="1"/>
  <c r="E30" i="35"/>
  <c r="E31" i="35"/>
  <c r="E30" i="34"/>
  <c r="T30" i="34" s="1"/>
  <c r="E31" i="34"/>
  <c r="E30" i="33"/>
  <c r="E29" i="33"/>
  <c r="F30" i="13"/>
  <c r="E29" i="13"/>
  <c r="T29" i="13" s="1"/>
  <c r="E30" i="13"/>
  <c r="E29" i="12"/>
  <c r="E30" i="12"/>
  <c r="E29" i="11"/>
  <c r="T29" i="11" s="1"/>
  <c r="E30" i="11"/>
  <c r="E29" i="10" l="1"/>
  <c r="E30" i="10"/>
  <c r="E30" i="9"/>
  <c r="E31" i="9"/>
  <c r="E30" i="3"/>
  <c r="E31" i="3"/>
  <c r="F30" i="2"/>
  <c r="E29" i="2" l="1"/>
  <c r="E30" i="2"/>
  <c r="F30" i="1"/>
  <c r="E29" i="1"/>
  <c r="T29" i="1" s="1"/>
  <c r="E30" i="1"/>
  <c r="E26" i="39" l="1"/>
  <c r="E28" i="34" l="1"/>
  <c r="E27" i="33" l="1"/>
  <c r="E28" i="9" l="1"/>
  <c r="E28" i="3" l="1"/>
  <c r="E27" i="2" l="1"/>
  <c r="E27" i="1"/>
  <c r="K27" i="34" l="1"/>
  <c r="H27" i="34" s="1"/>
  <c r="E27" i="34" s="1"/>
  <c r="K26" i="33" l="1"/>
  <c r="H26" i="33" s="1"/>
  <c r="E26" i="33" s="1"/>
  <c r="I26" i="13"/>
  <c r="J26" i="13"/>
  <c r="L26" i="13" s="1"/>
  <c r="G26" i="13"/>
  <c r="K26" i="13"/>
  <c r="H26" i="13" l="1"/>
  <c r="E26" i="13" s="1"/>
  <c r="G26" i="12"/>
  <c r="I26" i="12" s="1"/>
  <c r="K26" i="12"/>
  <c r="H26" i="12" l="1"/>
  <c r="E26" i="12" s="1"/>
  <c r="K26" i="11"/>
  <c r="H26" i="11" l="1"/>
  <c r="E26" i="11" s="1"/>
  <c r="J26" i="10"/>
  <c r="G26" i="10"/>
  <c r="K26" i="10"/>
  <c r="H26" i="10" s="1"/>
  <c r="E26" i="10" s="1"/>
  <c r="J26" i="9" l="1"/>
  <c r="G26" i="9"/>
  <c r="E27" i="9"/>
  <c r="H26" i="9" s="1"/>
  <c r="E26" i="9" s="1"/>
  <c r="J26" i="3" l="1"/>
  <c r="G26" i="3"/>
  <c r="E27" i="3"/>
  <c r="H26" i="3" s="1"/>
  <c r="E26" i="3" s="1"/>
  <c r="I25" i="37" l="1"/>
  <c r="H25" i="37"/>
  <c r="E25" i="37"/>
  <c r="T25" i="37" s="1"/>
  <c r="I25" i="36"/>
  <c r="H25" i="36"/>
  <c r="E25" i="36"/>
  <c r="I26" i="35"/>
  <c r="H26" i="35"/>
  <c r="E26" i="35"/>
  <c r="I26" i="34"/>
  <c r="H26" i="34"/>
  <c r="E26" i="34"/>
  <c r="I25" i="33"/>
  <c r="H25" i="33"/>
  <c r="E25" i="33"/>
  <c r="I25" i="13"/>
  <c r="H25" i="13"/>
  <c r="E25" i="13"/>
  <c r="T25" i="13" l="1"/>
  <c r="T25" i="33"/>
  <c r="T26" i="35"/>
  <c r="T25" i="36"/>
  <c r="I25" i="12"/>
  <c r="H25" i="12"/>
  <c r="E25" i="12"/>
  <c r="T25" i="12" s="1"/>
  <c r="I25" i="11"/>
  <c r="H25" i="11"/>
  <c r="E25" i="11"/>
  <c r="I25" i="10"/>
  <c r="H25" i="10"/>
  <c r="E25" i="10"/>
  <c r="H25" i="9"/>
  <c r="E25" i="9"/>
  <c r="H25" i="3"/>
  <c r="E25" i="3"/>
  <c r="I25" i="9"/>
  <c r="I25" i="3"/>
  <c r="I25" i="2"/>
  <c r="H25" i="2"/>
  <c r="E25" i="2"/>
  <c r="T25" i="2" l="1"/>
  <c r="T25" i="3"/>
  <c r="T25" i="9"/>
  <c r="T25" i="10"/>
  <c r="T25" i="11"/>
  <c r="I25" i="1"/>
  <c r="H25" i="1"/>
  <c r="E25" i="1"/>
  <c r="T25" i="1" s="1"/>
  <c r="E23" i="38" l="1"/>
  <c r="H24" i="37" l="1"/>
  <c r="E24" i="37"/>
  <c r="H24" i="36"/>
  <c r="E24" i="36"/>
  <c r="H25" i="35"/>
  <c r="E25" i="35"/>
  <c r="M25" i="34"/>
  <c r="J25" i="34"/>
  <c r="L25" i="34" s="1"/>
  <c r="G25" i="34"/>
  <c r="I25" i="34" s="1"/>
  <c r="K25" i="34"/>
  <c r="H25" i="34"/>
  <c r="E25" i="34"/>
  <c r="J24" i="33"/>
  <c r="G24" i="33"/>
  <c r="I24" i="33" s="1"/>
  <c r="H24" i="33"/>
  <c r="E24" i="33"/>
  <c r="T24" i="33" l="1"/>
  <c r="T25" i="34"/>
  <c r="J24" i="13"/>
  <c r="G24" i="13"/>
  <c r="I24" i="13" s="1"/>
  <c r="H24" i="13"/>
  <c r="E24" i="13"/>
  <c r="J24" i="12"/>
  <c r="G24" i="12"/>
  <c r="I24" i="12" s="1"/>
  <c r="H24" i="12"/>
  <c r="E24" i="12"/>
  <c r="J24" i="11"/>
  <c r="G24" i="11"/>
  <c r="I24" i="11" s="1"/>
  <c r="H24" i="11"/>
  <c r="E24" i="11"/>
  <c r="J24" i="10"/>
  <c r="G24" i="10"/>
  <c r="I24" i="10" s="1"/>
  <c r="H24" i="10"/>
  <c r="E24" i="10"/>
  <c r="J24" i="9"/>
  <c r="L24" i="9" s="1"/>
  <c r="G24" i="9"/>
  <c r="I24" i="9" s="1"/>
  <c r="K24" i="9"/>
  <c r="H24" i="9"/>
  <c r="E24" i="9"/>
  <c r="K24" i="3"/>
  <c r="J24" i="3"/>
  <c r="L24" i="3" s="1"/>
  <c r="G24" i="3"/>
  <c r="I24" i="3" s="1"/>
  <c r="T24" i="10" l="1"/>
  <c r="T24" i="11"/>
  <c r="T24" i="12"/>
  <c r="T24" i="13"/>
  <c r="H24" i="3"/>
  <c r="E24" i="3"/>
  <c r="J24" i="2"/>
  <c r="G24" i="2"/>
  <c r="H24" i="2"/>
  <c r="E24" i="2"/>
  <c r="T24" i="2" l="1"/>
  <c r="J24" i="1"/>
  <c r="G24" i="1"/>
  <c r="I24" i="1" s="1"/>
  <c r="H24" i="1"/>
  <c r="E24" i="1"/>
  <c r="T24" i="1" l="1"/>
  <c r="E22" i="38"/>
  <c r="E23" i="37" l="1"/>
  <c r="E23" i="36" l="1"/>
  <c r="E24" i="35" l="1"/>
  <c r="E23" i="35"/>
  <c r="E24" i="34" l="1"/>
  <c r="T24" i="34" s="1"/>
  <c r="H23" i="34"/>
  <c r="E23" i="34"/>
  <c r="I22" i="33" l="1"/>
  <c r="E23" i="33"/>
  <c r="T23" i="33" s="1"/>
  <c r="H22" i="33"/>
  <c r="E22" i="33"/>
  <c r="I22" i="13" l="1"/>
  <c r="E23" i="13"/>
  <c r="H22" i="13"/>
  <c r="E22" i="13"/>
  <c r="E23" i="12" l="1"/>
  <c r="E22" i="12"/>
  <c r="E23" i="11" l="1"/>
  <c r="E22" i="11"/>
  <c r="E23" i="10" l="1"/>
  <c r="E22" i="10"/>
  <c r="E23" i="9" l="1"/>
  <c r="E22" i="9"/>
  <c r="E23" i="3" l="1"/>
  <c r="T23" i="3" s="1"/>
  <c r="E22" i="3"/>
  <c r="E23" i="2" l="1"/>
  <c r="E22" i="2"/>
  <c r="E23" i="1" l="1"/>
  <c r="E22" i="1"/>
  <c r="E18" i="38" l="1"/>
  <c r="E18" i="37" l="1"/>
  <c r="G18" i="37"/>
  <c r="E18" i="36" l="1"/>
  <c r="G18" i="36"/>
  <c r="G18" i="35" l="1"/>
  <c r="G18" i="34" l="1"/>
  <c r="G17" i="13" l="1"/>
  <c r="G17" i="12" l="1"/>
  <c r="G17" i="11" l="1"/>
  <c r="N16" i="39" l="1"/>
  <c r="K16" i="39"/>
  <c r="H16" i="39"/>
  <c r="E16" i="39"/>
  <c r="E16" i="38" l="1"/>
  <c r="N16" i="38"/>
  <c r="K16" i="38"/>
  <c r="E16" i="37" l="1"/>
  <c r="N16" i="37"/>
  <c r="K16" i="37"/>
  <c r="H16" i="37"/>
  <c r="E16" i="36" l="1"/>
  <c r="N16" i="36"/>
  <c r="K16" i="36"/>
  <c r="H16" i="36"/>
  <c r="N16" i="35" l="1"/>
  <c r="K16" i="35"/>
  <c r="H16" i="35"/>
  <c r="E16" i="35"/>
  <c r="H16" i="34"/>
  <c r="E16" i="34"/>
  <c r="N16" i="34"/>
  <c r="K16" i="34"/>
  <c r="N15" i="33" l="1"/>
  <c r="K15" i="33"/>
  <c r="H15" i="33"/>
  <c r="E15" i="33"/>
  <c r="E15" i="12" l="1"/>
  <c r="E15" i="13" l="1"/>
  <c r="N15" i="13" l="1"/>
  <c r="K15" i="13"/>
  <c r="H15" i="13"/>
  <c r="N15" i="11" l="1"/>
  <c r="K15" i="11"/>
  <c r="H15" i="11"/>
  <c r="E15" i="11"/>
  <c r="N15" i="12" l="1"/>
  <c r="K15" i="12"/>
  <c r="H15" i="12"/>
  <c r="N15" i="10" l="1"/>
  <c r="K15" i="10"/>
  <c r="H15" i="10"/>
  <c r="E15" i="10"/>
  <c r="K15" i="9" l="1"/>
  <c r="H15" i="9"/>
  <c r="E15" i="9"/>
  <c r="N15" i="9" l="1"/>
  <c r="M15" i="3"/>
  <c r="J15" i="3"/>
  <c r="N15" i="3"/>
  <c r="K15" i="3"/>
  <c r="H15" i="3"/>
  <c r="E15" i="3"/>
  <c r="N15" i="2" l="1"/>
  <c r="K15" i="2"/>
  <c r="H15" i="2"/>
  <c r="E15" i="2"/>
  <c r="N15" i="1" l="1"/>
  <c r="K15" i="1"/>
  <c r="H15" i="1"/>
  <c r="E15" i="1"/>
  <c r="M8" i="37" l="1"/>
  <c r="J8" i="37"/>
  <c r="L8" i="37" s="1"/>
  <c r="E8" i="37"/>
  <c r="H8" i="37" l="1"/>
  <c r="K8" i="37"/>
  <c r="T8" i="37" s="1"/>
  <c r="M8" i="36"/>
  <c r="J8" i="36"/>
  <c r="E8" i="36"/>
  <c r="K8" i="36" l="1"/>
  <c r="L8" i="36"/>
  <c r="I8" i="36"/>
  <c r="H8" i="36"/>
  <c r="T8" i="36" l="1"/>
  <c r="M8" i="35"/>
  <c r="J8" i="35"/>
  <c r="K8" i="35" l="1"/>
  <c r="L8" i="35"/>
  <c r="I8" i="35"/>
  <c r="E8" i="35"/>
  <c r="H8" i="35" s="1"/>
  <c r="M8" i="34"/>
  <c r="J8" i="34"/>
  <c r="L8" i="34" l="1"/>
  <c r="K8" i="34"/>
  <c r="I8" i="34"/>
  <c r="E8" i="34"/>
  <c r="M8" i="33"/>
  <c r="J8" i="33"/>
  <c r="E8" i="33"/>
  <c r="H8" i="34" l="1"/>
  <c r="T8" i="34" s="1"/>
  <c r="L8" i="33"/>
  <c r="K8" i="33"/>
  <c r="I8" i="33"/>
  <c r="H8" i="33"/>
  <c r="M8" i="13"/>
  <c r="J8" i="13"/>
  <c r="H8" i="13"/>
  <c r="E8" i="13"/>
  <c r="K8" i="13"/>
  <c r="L8" i="13"/>
  <c r="I8" i="13"/>
  <c r="T8" i="13" l="1"/>
  <c r="T8" i="33"/>
  <c r="M8" i="12"/>
  <c r="J8" i="12"/>
  <c r="E8" i="12"/>
  <c r="H8" i="12" l="1"/>
  <c r="K8" i="12"/>
  <c r="L8" i="12"/>
  <c r="I8" i="12"/>
  <c r="T8" i="12" s="1"/>
  <c r="M8" i="11"/>
  <c r="J8" i="11"/>
  <c r="E8" i="11"/>
  <c r="H8" i="11" l="1"/>
  <c r="K8" i="11"/>
  <c r="L8" i="11"/>
  <c r="I8" i="11"/>
  <c r="T8" i="11" s="1"/>
  <c r="M8" i="10"/>
  <c r="J8" i="10"/>
  <c r="E8" i="10"/>
  <c r="H8" i="10" l="1"/>
  <c r="K8" i="10"/>
  <c r="L8" i="10"/>
  <c r="I8" i="10"/>
  <c r="T8" i="10" s="1"/>
  <c r="K8" i="9"/>
  <c r="M8" i="9"/>
  <c r="J8" i="9"/>
  <c r="E8" i="9"/>
  <c r="H8" i="9" l="1"/>
  <c r="L8" i="9"/>
  <c r="I8" i="9"/>
  <c r="T8" i="9" s="1"/>
  <c r="K8" i="3"/>
  <c r="M8" i="3"/>
  <c r="J8" i="3"/>
  <c r="L8" i="3" s="1"/>
  <c r="I8" i="3"/>
  <c r="E8" i="3"/>
  <c r="H8" i="3" l="1"/>
  <c r="T8" i="3"/>
  <c r="K8" i="2"/>
  <c r="J8" i="2"/>
  <c r="L8" i="2" s="1"/>
  <c r="M8" i="2"/>
  <c r="I8" i="2"/>
  <c r="E8" i="2"/>
  <c r="H8" i="2" l="1"/>
  <c r="T8" i="2" s="1"/>
  <c r="E20" i="37"/>
  <c r="E19" i="37"/>
  <c r="E20" i="36"/>
  <c r="E19" i="36"/>
  <c r="E20" i="35"/>
  <c r="E19" i="35"/>
  <c r="E20" i="34"/>
  <c r="E19" i="34"/>
  <c r="T19" i="34" s="1"/>
  <c r="E19" i="33"/>
  <c r="E18" i="33"/>
  <c r="E19" i="13" l="1"/>
  <c r="E18" i="13"/>
  <c r="E19" i="12"/>
  <c r="E18" i="12"/>
  <c r="E19" i="11" l="1"/>
  <c r="E18" i="11"/>
  <c r="E19" i="10"/>
  <c r="E18" i="10"/>
  <c r="E19" i="9"/>
  <c r="E18" i="9"/>
  <c r="E19" i="3" l="1"/>
  <c r="E18" i="3"/>
  <c r="E19" i="2" l="1"/>
  <c r="E18" i="2"/>
  <c r="T18" i="2" s="1"/>
  <c r="E18" i="1" l="1"/>
  <c r="T18" i="1" s="1"/>
  <c r="G17" i="10" l="1"/>
  <c r="E17" i="10"/>
  <c r="G17" i="9"/>
  <c r="E17" i="9"/>
  <c r="G17" i="3"/>
  <c r="E17" i="3"/>
  <c r="G17" i="2"/>
  <c r="E17" i="2"/>
  <c r="G17" i="1" l="1"/>
  <c r="E17" i="1"/>
  <c r="T17" i="1" l="1"/>
  <c r="H17" i="37"/>
  <c r="E17" i="37"/>
  <c r="H17" i="36" l="1"/>
  <c r="E17" i="36"/>
  <c r="H17" i="35" l="1"/>
  <c r="E17" i="35"/>
  <c r="T17" i="35" s="1"/>
  <c r="H17" i="34" l="1"/>
  <c r="E17" i="34"/>
  <c r="T17" i="34" s="1"/>
  <c r="E16" i="33"/>
  <c r="I16" i="33" l="1"/>
  <c r="H16" i="33"/>
  <c r="E16" i="13"/>
  <c r="I16" i="13"/>
  <c r="H16" i="13"/>
  <c r="I16" i="12"/>
  <c r="H16" i="12"/>
  <c r="E16" i="12"/>
  <c r="T16" i="12" s="1"/>
  <c r="T16" i="13" l="1"/>
  <c r="T16" i="33"/>
  <c r="I16" i="11"/>
  <c r="H16" i="11"/>
  <c r="E16" i="11"/>
  <c r="I16" i="10"/>
  <c r="H16" i="10"/>
  <c r="E16" i="10"/>
  <c r="T16" i="10" s="1"/>
  <c r="E16" i="9"/>
  <c r="E16" i="3"/>
  <c r="E16" i="2"/>
  <c r="E16" i="1"/>
  <c r="T16" i="11" l="1"/>
  <c r="I16" i="9"/>
  <c r="H16" i="9"/>
  <c r="I16" i="3"/>
  <c r="T16" i="3" s="1"/>
  <c r="H16" i="3"/>
  <c r="I16" i="2"/>
  <c r="H16" i="2"/>
  <c r="I16" i="1"/>
  <c r="T16" i="1" s="1"/>
  <c r="H16" i="1"/>
  <c r="T16" i="2" l="1"/>
  <c r="T16" i="9"/>
  <c r="M8" i="1"/>
  <c r="J8" i="1"/>
  <c r="E15" i="37" l="1"/>
  <c r="E14" i="37"/>
  <c r="E15" i="36"/>
  <c r="E14" i="36"/>
  <c r="E15" i="35"/>
  <c r="E14" i="35"/>
  <c r="E15" i="34"/>
  <c r="E14" i="34"/>
  <c r="E14" i="33"/>
  <c r="E13" i="33"/>
  <c r="E14" i="13"/>
  <c r="E13" i="13"/>
  <c r="E14" i="12" l="1"/>
  <c r="E13" i="12"/>
  <c r="E14" i="11" l="1"/>
  <c r="E13" i="11"/>
  <c r="E14" i="10"/>
  <c r="E13" i="10"/>
  <c r="E14" i="9"/>
  <c r="E13" i="9"/>
  <c r="E14" i="3"/>
  <c r="E13" i="3"/>
  <c r="E14" i="2"/>
  <c r="E13" i="2"/>
  <c r="E14" i="1"/>
  <c r="E13" i="1"/>
  <c r="E11" i="38" l="1"/>
  <c r="E10" i="38"/>
  <c r="E11" i="37" l="1"/>
  <c r="E10" i="37"/>
  <c r="E10" i="33" l="1"/>
  <c r="E10" i="13" l="1"/>
  <c r="E10" i="12"/>
  <c r="E10" i="11"/>
  <c r="E10" i="10"/>
  <c r="E10" i="9"/>
  <c r="E10" i="3"/>
  <c r="E10" i="1"/>
  <c r="E9" i="38" l="1"/>
  <c r="E9" i="37" l="1"/>
  <c r="E9" i="36"/>
  <c r="G9" i="35"/>
  <c r="E9" i="35"/>
  <c r="E9" i="34"/>
  <c r="T9" i="35" l="1"/>
  <c r="E9" i="33"/>
  <c r="E9" i="13"/>
  <c r="G9" i="12"/>
  <c r="T9" i="12" s="1"/>
  <c r="E9" i="12"/>
  <c r="E9" i="11"/>
  <c r="E9" i="10"/>
  <c r="E9" i="9" l="1"/>
  <c r="E9" i="3" l="1"/>
  <c r="E9" i="2" l="1"/>
  <c r="E9" i="1"/>
  <c r="L8" i="1" l="1"/>
  <c r="I8" i="1"/>
  <c r="T8" i="1" s="1"/>
  <c r="E7" i="36" l="1"/>
  <c r="E7" i="35" l="1"/>
  <c r="E7" i="34" l="1"/>
  <c r="E7" i="33" l="1"/>
  <c r="E7" i="13" l="1"/>
  <c r="E7" i="12" l="1"/>
  <c r="E7" i="11"/>
  <c r="E7" i="10"/>
  <c r="E7" i="9" l="1"/>
  <c r="E7" i="3" l="1"/>
  <c r="E7" i="2" l="1"/>
  <c r="E7" i="1" l="1"/>
  <c r="F6" i="33" l="1"/>
  <c r="F6" i="1"/>
  <c r="F6" i="2"/>
  <c r="F6" i="3"/>
  <c r="F6" i="9"/>
  <c r="F6" i="10"/>
  <c r="F6" i="11"/>
  <c r="F6" i="12"/>
  <c r="F6" i="13"/>
  <c r="F40" i="39" l="1"/>
  <c r="E13" i="39" l="1"/>
  <c r="E13" i="38" l="1"/>
  <c r="E13" i="37" l="1"/>
  <c r="E13" i="36" l="1"/>
  <c r="E13" i="35" l="1"/>
  <c r="E13" i="34" l="1"/>
  <c r="E12" i="33" l="1"/>
  <c r="E12" i="13" l="1"/>
  <c r="E12" i="12" l="1"/>
  <c r="E12" i="11" l="1"/>
  <c r="E12" i="10" l="1"/>
  <c r="E12" i="9" l="1"/>
  <c r="E12" i="3" l="1"/>
  <c r="C23" i="1" l="1"/>
  <c r="C23" i="2"/>
  <c r="C23" i="3"/>
  <c r="C23" i="9"/>
  <c r="C23" i="10"/>
  <c r="C23" i="11"/>
  <c r="C23" i="12"/>
  <c r="D21" i="34"/>
  <c r="D20" i="33"/>
  <c r="D20" i="39"/>
  <c r="E41" i="39" l="1"/>
  <c r="H41" i="39"/>
  <c r="K41" i="38"/>
  <c r="E41" i="38" l="1"/>
  <c r="H41" i="38"/>
  <c r="J42" i="37"/>
  <c r="L42" i="37" s="1"/>
  <c r="K42" i="37"/>
  <c r="K43" i="36"/>
  <c r="L43" i="36"/>
  <c r="E43" i="36" l="1"/>
  <c r="H43" i="36"/>
  <c r="E42" i="37"/>
  <c r="H42" i="37"/>
  <c r="H44" i="39"/>
  <c r="E44" i="39" s="1"/>
  <c r="E44" i="38"/>
  <c r="H43" i="38" l="1"/>
  <c r="E43" i="38"/>
  <c r="G43" i="39"/>
  <c r="I43" i="39" s="1"/>
  <c r="F43" i="39"/>
  <c r="H43" i="39"/>
  <c r="E43" i="39"/>
  <c r="E42" i="38" l="1"/>
  <c r="E42" i="39" l="1"/>
  <c r="T42" i="39" s="1"/>
  <c r="E40" i="38" l="1"/>
  <c r="G40" i="39" l="1"/>
  <c r="E40" i="39"/>
  <c r="T40" i="39" l="1"/>
  <c r="E39" i="38"/>
  <c r="E39" i="39"/>
  <c r="E38" i="39" l="1"/>
  <c r="G37" i="39" l="1"/>
  <c r="E37" i="39"/>
  <c r="E36" i="39" l="1"/>
  <c r="E35" i="39" l="1"/>
  <c r="H34" i="39"/>
  <c r="E34" i="39"/>
  <c r="E33" i="39" l="1"/>
  <c r="E31" i="38" l="1"/>
  <c r="E31" i="39" l="1"/>
  <c r="T31" i="39" s="1"/>
  <c r="E30" i="38" l="1"/>
  <c r="H30" i="38" l="1"/>
  <c r="J30" i="39"/>
  <c r="G30" i="39"/>
  <c r="E30" i="39"/>
  <c r="H30" i="39" l="1"/>
  <c r="E29" i="38"/>
  <c r="E28" i="38"/>
  <c r="F29" i="39" l="1"/>
  <c r="E29" i="39"/>
  <c r="E28" i="39"/>
  <c r="T28" i="39" s="1"/>
  <c r="K25" i="39" l="1"/>
  <c r="H25" i="39"/>
  <c r="E25" i="39"/>
  <c r="J23" i="39" l="1"/>
  <c r="G23" i="39"/>
  <c r="I23" i="39" l="1"/>
  <c r="T23" i="39" s="1"/>
  <c r="G11" i="38"/>
  <c r="G11" i="39" l="1"/>
  <c r="T11" i="39" s="1"/>
  <c r="G9" i="39" l="1"/>
  <c r="M8" i="39" l="1"/>
  <c r="J8" i="39"/>
  <c r="T39" i="39" l="1"/>
  <c r="T37" i="39"/>
  <c r="I30" i="39"/>
  <c r="T30" i="39" s="1"/>
  <c r="J25" i="39"/>
  <c r="L25" i="39" s="1"/>
  <c r="G25" i="39"/>
  <c r="I25" i="39" s="1"/>
  <c r="E19" i="39"/>
  <c r="G18" i="39"/>
  <c r="T18" i="39" s="1"/>
  <c r="H17" i="39"/>
  <c r="E17" i="39"/>
  <c r="M16" i="39"/>
  <c r="O16" i="39" s="1"/>
  <c r="J16" i="39"/>
  <c r="L16" i="39" s="1"/>
  <c r="T9" i="39"/>
  <c r="H8" i="39"/>
  <c r="E7" i="39"/>
  <c r="S6" i="39"/>
  <c r="Q6" i="39"/>
  <c r="P6" i="39"/>
  <c r="R6" i="39" s="1"/>
  <c r="N6" i="39"/>
  <c r="M6" i="39"/>
  <c r="O6" i="39" s="1"/>
  <c r="K6" i="39"/>
  <c r="J6" i="39"/>
  <c r="L6" i="39" s="1"/>
  <c r="H6" i="39"/>
  <c r="G6" i="39"/>
  <c r="I6" i="39" s="1"/>
  <c r="T17" i="39" l="1"/>
  <c r="T6" i="39"/>
  <c r="L8" i="39"/>
  <c r="T8" i="39" s="1"/>
  <c r="S6" i="38" l="1"/>
  <c r="P6" i="38"/>
  <c r="R6" i="38" s="1"/>
  <c r="M6" i="38"/>
  <c r="O6" i="38" s="1"/>
  <c r="J6" i="38"/>
  <c r="L6" i="38" s="1"/>
  <c r="G6" i="38"/>
  <c r="I6" i="38" s="1"/>
  <c r="E19" i="38" l="1"/>
  <c r="G9" i="38" l="1"/>
  <c r="T9" i="38" s="1"/>
  <c r="G43" i="38" l="1"/>
  <c r="I43" i="38" s="1"/>
  <c r="F43" i="38"/>
  <c r="G40" i="38" l="1"/>
  <c r="F40" i="38"/>
  <c r="J30" i="38" l="1"/>
  <c r="G30" i="38"/>
  <c r="I30" i="38" l="1"/>
  <c r="T30" i="38" s="1"/>
  <c r="F29" i="38"/>
  <c r="T28" i="38" l="1"/>
  <c r="G25" i="38" l="1"/>
  <c r="I25" i="38" s="1"/>
  <c r="J23" i="38" l="1"/>
  <c r="G23" i="38"/>
  <c r="I23" i="38" l="1"/>
  <c r="T23" i="38" s="1"/>
  <c r="G24" i="37"/>
  <c r="G18" i="38" l="1"/>
  <c r="H17" i="38" l="1"/>
  <c r="E17" i="38"/>
  <c r="T17" i="38" l="1"/>
  <c r="M8" i="38"/>
  <c r="J8" i="38"/>
  <c r="H8" i="38"/>
  <c r="L8" i="38" l="1"/>
  <c r="T8" i="38" s="1"/>
  <c r="Q6" i="38"/>
  <c r="T6" i="38" s="1"/>
  <c r="N6" i="38"/>
  <c r="K6" i="38"/>
  <c r="T42" i="38" l="1"/>
  <c r="T40" i="38"/>
  <c r="T39" i="38"/>
  <c r="T31" i="38"/>
  <c r="K25" i="38"/>
  <c r="H25" i="38" s="1"/>
  <c r="E25" i="38" s="1"/>
  <c r="J25" i="38"/>
  <c r="L25" i="38" s="1"/>
  <c r="T18" i="38"/>
  <c r="M16" i="38"/>
  <c r="O16" i="38" s="1"/>
  <c r="J16" i="38"/>
  <c r="L16" i="38" s="1"/>
  <c r="T11" i="38"/>
  <c r="E7" i="38"/>
  <c r="E6" i="13" l="1"/>
  <c r="G6" i="13"/>
  <c r="T6" i="13" s="1"/>
  <c r="A14" i="9"/>
  <c r="A19" i="9"/>
  <c r="A23" i="9"/>
  <c r="V16" i="37" l="1"/>
  <c r="M15" i="12" l="1"/>
  <c r="O15" i="12" s="1"/>
  <c r="J15" i="12"/>
  <c r="L15" i="12" s="1"/>
  <c r="I15" i="12"/>
  <c r="M15" i="11" l="1"/>
  <c r="O15" i="11" s="1"/>
  <c r="J15" i="11"/>
  <c r="L15" i="11" s="1"/>
  <c r="I15" i="11"/>
  <c r="M15" i="10" l="1"/>
  <c r="O15" i="10" s="1"/>
  <c r="J15" i="10"/>
  <c r="L15" i="10" s="1"/>
  <c r="I15" i="10"/>
  <c r="M15" i="9" l="1"/>
  <c r="O15" i="9" s="1"/>
  <c r="J15" i="9"/>
  <c r="L15" i="9" s="1"/>
  <c r="I15" i="9"/>
  <c r="O15" i="3" l="1"/>
  <c r="L15" i="3"/>
  <c r="I15" i="3"/>
  <c r="M15" i="2" l="1"/>
  <c r="O15" i="2" s="1"/>
  <c r="J15" i="2"/>
  <c r="L15" i="2" s="1"/>
  <c r="I15" i="2"/>
  <c r="M15" i="1" l="1"/>
  <c r="O15" i="1" s="1"/>
  <c r="J15" i="1"/>
  <c r="L15" i="1" s="1"/>
  <c r="I15" i="1"/>
  <c r="T24" i="35" l="1"/>
  <c r="T23" i="13" l="1"/>
  <c r="T23" i="12" l="1"/>
  <c r="T23" i="11" l="1"/>
  <c r="T23" i="10" l="1"/>
  <c r="T23" i="9" l="1"/>
  <c r="T23" i="2" l="1"/>
  <c r="T23" i="1" l="1"/>
  <c r="G9" i="37" l="1"/>
  <c r="T9" i="37" s="1"/>
  <c r="G45" i="35" l="1"/>
  <c r="T44" i="34" l="1"/>
  <c r="I42" i="37" l="1"/>
  <c r="I43" i="36" l="1"/>
  <c r="G42" i="35" l="1"/>
  <c r="T42" i="35" s="1"/>
  <c r="F42" i="35"/>
  <c r="F42" i="36"/>
  <c r="F41" i="37" l="1"/>
  <c r="I36" i="35" l="1"/>
  <c r="I36" i="34" l="1"/>
  <c r="G32" i="36" l="1"/>
  <c r="J32" i="35" l="1"/>
  <c r="G32" i="35"/>
  <c r="I32" i="35" l="1"/>
  <c r="T32" i="35" s="1"/>
  <c r="T26" i="34" l="1"/>
  <c r="I6" i="34" l="1"/>
  <c r="L6" i="34"/>
  <c r="O6" i="34"/>
  <c r="R6" i="34"/>
  <c r="I16" i="34"/>
  <c r="I23" i="34"/>
  <c r="L23" i="34"/>
  <c r="F31" i="34"/>
  <c r="F42" i="34"/>
  <c r="F45" i="34"/>
  <c r="T18" i="34" l="1"/>
  <c r="I23" i="35"/>
  <c r="T19" i="37" l="1"/>
  <c r="I17" i="36" l="1"/>
  <c r="T17" i="36" s="1"/>
  <c r="I45" i="37" l="1"/>
  <c r="G44" i="37"/>
  <c r="I44" i="37" s="1"/>
  <c r="F44" i="37"/>
  <c r="G41" i="37"/>
  <c r="T41" i="37" s="1"/>
  <c r="J31" i="37"/>
  <c r="G31" i="37"/>
  <c r="J26" i="37"/>
  <c r="L26" i="37" s="1"/>
  <c r="G26" i="37"/>
  <c r="I26" i="37" s="1"/>
  <c r="K26" i="37"/>
  <c r="H26" i="37" s="1"/>
  <c r="E26" i="37" s="1"/>
  <c r="J24" i="37"/>
  <c r="I24" i="37"/>
  <c r="T18" i="37"/>
  <c r="I17" i="37"/>
  <c r="G11" i="37"/>
  <c r="T11" i="37" s="1"/>
  <c r="G10" i="37"/>
  <c r="T10" i="37" s="1"/>
  <c r="S6" i="37"/>
  <c r="P6" i="37"/>
  <c r="R6" i="37" s="1"/>
  <c r="M6" i="37"/>
  <c r="O6" i="37" s="1"/>
  <c r="J6" i="37"/>
  <c r="L6" i="37" s="1"/>
  <c r="G6" i="37"/>
  <c r="I6" i="37" s="1"/>
  <c r="T40" i="37"/>
  <c r="I35" i="37"/>
  <c r="M16" i="37"/>
  <c r="O16" i="37" s="1"/>
  <c r="J16" i="37"/>
  <c r="L16" i="37" s="1"/>
  <c r="E7" i="37"/>
  <c r="Q6" i="37"/>
  <c r="K6" i="37"/>
  <c r="H6" i="37"/>
  <c r="G45" i="36"/>
  <c r="I45" i="36" s="1"/>
  <c r="F45" i="36"/>
  <c r="T44" i="36"/>
  <c r="G42" i="36"/>
  <c r="T42" i="36" s="1"/>
  <c r="T41" i="36"/>
  <c r="I36" i="36"/>
  <c r="T33" i="36"/>
  <c r="J32" i="36"/>
  <c r="I32" i="36"/>
  <c r="T29" i="36"/>
  <c r="K26" i="36"/>
  <c r="H26" i="36" s="1"/>
  <c r="E26" i="36" s="1"/>
  <c r="J26" i="36"/>
  <c r="L26" i="36" s="1"/>
  <c r="G26" i="36"/>
  <c r="I26" i="36" s="1"/>
  <c r="J24" i="36"/>
  <c r="G24" i="36"/>
  <c r="T19" i="36"/>
  <c r="T18" i="36"/>
  <c r="M16" i="36"/>
  <c r="O16" i="36" s="1"/>
  <c r="J16" i="36"/>
  <c r="L16" i="36" s="1"/>
  <c r="I16" i="36"/>
  <c r="V16" i="36"/>
  <c r="G11" i="36"/>
  <c r="T11" i="36" s="1"/>
  <c r="G10" i="36"/>
  <c r="T10" i="36" s="1"/>
  <c r="G9" i="36"/>
  <c r="T9" i="36" s="1"/>
  <c r="S6" i="36"/>
  <c r="Q6" i="36"/>
  <c r="P6" i="36"/>
  <c r="R6" i="36" s="1"/>
  <c r="N6" i="36"/>
  <c r="M6" i="36"/>
  <c r="O6" i="36" s="1"/>
  <c r="K6" i="36"/>
  <c r="J6" i="36"/>
  <c r="L6" i="36" s="1"/>
  <c r="H6" i="36"/>
  <c r="G6" i="36"/>
  <c r="I6" i="36" s="1"/>
  <c r="G17" i="33"/>
  <c r="T17" i="33" s="1"/>
  <c r="J26" i="1"/>
  <c r="L26" i="1" s="1"/>
  <c r="G26" i="1"/>
  <c r="I26" i="1" s="1"/>
  <c r="H26" i="1"/>
  <c r="E26" i="1" s="1"/>
  <c r="J26" i="2"/>
  <c r="L26" i="2" s="1"/>
  <c r="G26" i="2"/>
  <c r="I26" i="2" s="1"/>
  <c r="H26" i="2"/>
  <c r="E26" i="2" s="1"/>
  <c r="I26" i="3"/>
  <c r="F31" i="35"/>
  <c r="J25" i="35"/>
  <c r="G25" i="35"/>
  <c r="T18" i="11"/>
  <c r="V16" i="35"/>
  <c r="V15" i="2"/>
  <c r="V15" i="3"/>
  <c r="V15" i="9"/>
  <c r="V15" i="10"/>
  <c r="V15" i="11"/>
  <c r="V15" i="12"/>
  <c r="V15" i="13"/>
  <c r="V15" i="33"/>
  <c r="V16" i="34"/>
  <c r="T10" i="33"/>
  <c r="G44" i="1"/>
  <c r="F44" i="1"/>
  <c r="G44" i="2"/>
  <c r="F44" i="2"/>
  <c r="G45" i="3"/>
  <c r="F45" i="3"/>
  <c r="G45" i="9"/>
  <c r="I45" i="9" s="1"/>
  <c r="F45" i="9"/>
  <c r="G44" i="10"/>
  <c r="I44" i="10" s="1"/>
  <c r="F44" i="10"/>
  <c r="G44" i="11"/>
  <c r="I44" i="11" s="1"/>
  <c r="F44" i="11"/>
  <c r="G44" i="12"/>
  <c r="I44" i="12" s="1"/>
  <c r="F44" i="12"/>
  <c r="G44" i="13"/>
  <c r="I44" i="13" s="1"/>
  <c r="F44" i="13"/>
  <c r="G44" i="33"/>
  <c r="I44" i="33" s="1"/>
  <c r="F44" i="33"/>
  <c r="G45" i="34"/>
  <c r="I45" i="34" s="1"/>
  <c r="I45" i="35"/>
  <c r="F45" i="35"/>
  <c r="T40" i="2"/>
  <c r="T41" i="3"/>
  <c r="T40" i="10"/>
  <c r="T40" i="11"/>
  <c r="T40" i="12"/>
  <c r="V15" i="1"/>
  <c r="G6" i="1"/>
  <c r="E6" i="1"/>
  <c r="E6" i="2"/>
  <c r="G6" i="2"/>
  <c r="E6" i="33"/>
  <c r="F42" i="3"/>
  <c r="G41" i="1"/>
  <c r="T41" i="1" s="1"/>
  <c r="G41" i="2"/>
  <c r="T41" i="2" s="1"/>
  <c r="T42" i="3"/>
  <c r="G42" i="9"/>
  <c r="T42" i="9" s="1"/>
  <c r="F42" i="9"/>
  <c r="G41" i="10"/>
  <c r="T41" i="10" s="1"/>
  <c r="G41" i="11"/>
  <c r="T41" i="11" s="1"/>
  <c r="F41" i="11"/>
  <c r="G41" i="12"/>
  <c r="T41" i="12" s="1"/>
  <c r="F41" i="12"/>
  <c r="G41" i="13"/>
  <c r="T41" i="13" s="1"/>
  <c r="F41" i="13"/>
  <c r="F41" i="33"/>
  <c r="G41" i="33"/>
  <c r="T41" i="33" s="1"/>
  <c r="G42" i="34"/>
  <c r="T42" i="34" s="1"/>
  <c r="M32" i="9"/>
  <c r="G32" i="9"/>
  <c r="T30" i="3"/>
  <c r="F31" i="3"/>
  <c r="T30" i="9"/>
  <c r="F31" i="9"/>
  <c r="F30" i="10"/>
  <c r="F30" i="11"/>
  <c r="F30" i="12"/>
  <c r="T29" i="12"/>
  <c r="F30" i="33"/>
  <c r="F27" i="3"/>
  <c r="F27" i="9"/>
  <c r="I26" i="9"/>
  <c r="L26" i="10"/>
  <c r="I26" i="10"/>
  <c r="J26" i="11"/>
  <c r="L26" i="11" s="1"/>
  <c r="G26" i="11"/>
  <c r="J26" i="12"/>
  <c r="L26" i="12" s="1"/>
  <c r="J26" i="33"/>
  <c r="L26" i="33" s="1"/>
  <c r="G26" i="33"/>
  <c r="I26" i="33" s="1"/>
  <c r="J27" i="34"/>
  <c r="G27" i="34"/>
  <c r="J27" i="35"/>
  <c r="G27" i="35"/>
  <c r="K27" i="35"/>
  <c r="H27" i="35" s="1"/>
  <c r="E27" i="35" s="1"/>
  <c r="G9" i="1"/>
  <c r="T9" i="1" s="1"/>
  <c r="G9" i="2"/>
  <c r="T9" i="2" s="1"/>
  <c r="G9" i="3"/>
  <c r="T9" i="3" s="1"/>
  <c r="G9" i="9"/>
  <c r="T9" i="9" s="1"/>
  <c r="G9" i="10"/>
  <c r="T9" i="10" s="1"/>
  <c r="G9" i="11"/>
  <c r="T9" i="11" s="1"/>
  <c r="G9" i="13"/>
  <c r="T9" i="13" s="1"/>
  <c r="G9" i="33"/>
  <c r="T9" i="33" s="1"/>
  <c r="G9" i="34"/>
  <c r="T9" i="34" s="1"/>
  <c r="T29" i="2"/>
  <c r="T29" i="33"/>
  <c r="T29" i="10"/>
  <c r="J32" i="34"/>
  <c r="G32" i="34"/>
  <c r="G11" i="34"/>
  <c r="T11" i="34" s="1"/>
  <c r="G10" i="34"/>
  <c r="T10" i="34" s="1"/>
  <c r="T30" i="35"/>
  <c r="T18" i="35"/>
  <c r="J16" i="35"/>
  <c r="L16" i="35" s="1"/>
  <c r="G11" i="35"/>
  <c r="T11" i="35" s="1"/>
  <c r="G10" i="35"/>
  <c r="T10" i="35" s="1"/>
  <c r="S6" i="35"/>
  <c r="R6" i="35"/>
  <c r="P6" i="35"/>
  <c r="O6" i="35"/>
  <c r="M6" i="35"/>
  <c r="L6" i="35"/>
  <c r="I6" i="35"/>
  <c r="G6" i="35"/>
  <c r="T33" i="35"/>
  <c r="T19" i="35"/>
  <c r="M16" i="35"/>
  <c r="O16" i="35" s="1"/>
  <c r="I16" i="35"/>
  <c r="T8" i="35"/>
  <c r="Q6" i="35"/>
  <c r="N6" i="35"/>
  <c r="T33" i="34"/>
  <c r="S6" i="34"/>
  <c r="P6" i="34"/>
  <c r="M6" i="34"/>
  <c r="J6" i="34"/>
  <c r="H6" i="34"/>
  <c r="G6" i="34"/>
  <c r="Q6" i="34"/>
  <c r="N6" i="34"/>
  <c r="K6" i="34"/>
  <c r="T41" i="34"/>
  <c r="M16" i="34"/>
  <c r="O16" i="34" s="1"/>
  <c r="J16" i="34"/>
  <c r="L16" i="34" s="1"/>
  <c r="J31" i="33"/>
  <c r="I31" i="33"/>
  <c r="G31" i="33"/>
  <c r="E31" i="33"/>
  <c r="H31" i="33" s="1"/>
  <c r="G6" i="33"/>
  <c r="T6" i="33" s="1"/>
  <c r="T40" i="33"/>
  <c r="T32" i="33"/>
  <c r="T18" i="33"/>
  <c r="M15" i="33"/>
  <c r="O15" i="33" s="1"/>
  <c r="J15" i="33"/>
  <c r="L15" i="33" s="1"/>
  <c r="I15" i="33"/>
  <c r="T40" i="13"/>
  <c r="T18" i="12"/>
  <c r="T17" i="13"/>
  <c r="M15" i="13"/>
  <c r="O15" i="13" s="1"/>
  <c r="J15" i="13"/>
  <c r="L15" i="13" s="1"/>
  <c r="I15" i="13"/>
  <c r="M31" i="12"/>
  <c r="G31" i="12"/>
  <c r="M31" i="13"/>
  <c r="G31" i="13"/>
  <c r="T18" i="13"/>
  <c r="T32" i="13"/>
  <c r="T43" i="13"/>
  <c r="T17" i="12"/>
  <c r="G6" i="12"/>
  <c r="E6" i="12"/>
  <c r="T32" i="12"/>
  <c r="T43" i="12"/>
  <c r="M31" i="1"/>
  <c r="T31" i="1" s="1"/>
  <c r="G31" i="2"/>
  <c r="M32" i="3"/>
  <c r="G32" i="3"/>
  <c r="M31" i="10"/>
  <c r="G31" i="10"/>
  <c r="M31" i="11"/>
  <c r="G31" i="11"/>
  <c r="T17" i="11"/>
  <c r="T17" i="10"/>
  <c r="T17" i="9"/>
  <c r="T17" i="3"/>
  <c r="T17" i="2"/>
  <c r="T18" i="10"/>
  <c r="T32" i="11"/>
  <c r="T44" i="3"/>
  <c r="T44" i="9"/>
  <c r="T43" i="10"/>
  <c r="T43" i="11"/>
  <c r="G6" i="10"/>
  <c r="E6" i="10"/>
  <c r="G6" i="11"/>
  <c r="E6" i="11"/>
  <c r="T18" i="3"/>
  <c r="T18" i="9"/>
  <c r="T33" i="9"/>
  <c r="G6" i="9"/>
  <c r="E6" i="9"/>
  <c r="T33" i="3"/>
  <c r="G6" i="3"/>
  <c r="E6" i="3"/>
  <c r="T6" i="1" l="1"/>
  <c r="T44" i="2"/>
  <c r="I31" i="2"/>
  <c r="T31" i="2" s="1"/>
  <c r="T6" i="2"/>
  <c r="T6" i="3"/>
  <c r="I32" i="3"/>
  <c r="T32" i="3" s="1"/>
  <c r="T6" i="9"/>
  <c r="I32" i="9"/>
  <c r="T32" i="9" s="1"/>
  <c r="I31" i="10"/>
  <c r="T31" i="10" s="1"/>
  <c r="T6" i="10"/>
  <c r="I31" i="11"/>
  <c r="T31" i="11" s="1"/>
  <c r="T6" i="11"/>
  <c r="I31" i="12"/>
  <c r="T31" i="12" s="1"/>
  <c r="T6" i="12"/>
  <c r="I31" i="13"/>
  <c r="T31" i="13" s="1"/>
  <c r="T6" i="34"/>
  <c r="I25" i="35"/>
  <c r="T25" i="35" s="1"/>
  <c r="T6" i="35"/>
  <c r="T6" i="37"/>
  <c r="T24" i="37"/>
  <c r="T32" i="36"/>
  <c r="T6" i="36"/>
  <c r="I24" i="36"/>
  <c r="T24" i="36" s="1"/>
  <c r="I31" i="37"/>
  <c r="T31" i="37" s="1"/>
  <c r="T44" i="1"/>
  <c r="T45" i="3"/>
  <c r="T17" i="37"/>
  <c r="I27" i="35"/>
  <c r="L27" i="34"/>
  <c r="T31" i="33"/>
  <c r="I27" i="34"/>
  <c r="I26" i="11"/>
  <c r="I32" i="34"/>
  <c r="T32" i="34" s="1"/>
  <c r="L27" i="35"/>
</calcChain>
</file>

<file path=xl/comments1.xml><?xml version="1.0" encoding="utf-8"?>
<comments xmlns="http://schemas.openxmlformats.org/spreadsheetml/2006/main">
  <authors>
    <author>SHARRATT Michael</author>
  </authors>
  <commentList>
    <comment ref="F33" authorId="0">
      <text>
        <r>
          <rPr>
            <b/>
            <sz val="9"/>
            <color indexed="81"/>
            <rFont val="Tahoma"/>
            <family val="2"/>
          </rPr>
          <t>SHARRATT Michael:</t>
        </r>
        <r>
          <rPr>
            <sz val="9"/>
            <color indexed="81"/>
            <rFont val="Tahoma"/>
            <family val="2"/>
          </rPr>
          <t xml:space="preserve">
[]</t>
        </r>
      </text>
    </comment>
    <comment ref="F37" authorId="0">
      <text>
        <r>
          <rPr>
            <b/>
            <sz val="9"/>
            <color indexed="81"/>
            <rFont val="Tahoma"/>
            <family val="2"/>
          </rPr>
          <t>SHARRATT Michael:</t>
        </r>
        <r>
          <rPr>
            <sz val="9"/>
            <color indexed="81"/>
            <rFont val="Tahoma"/>
            <family val="2"/>
          </rPr>
          <t xml:space="preserve">
[]</t>
        </r>
      </text>
    </comment>
    <comment ref="F39" authorId="0">
      <text>
        <r>
          <rPr>
            <b/>
            <sz val="9"/>
            <color indexed="81"/>
            <rFont val="Tahoma"/>
            <family val="2"/>
          </rPr>
          <t>SHARRATT Michael:</t>
        </r>
        <r>
          <rPr>
            <sz val="9"/>
            <color indexed="81"/>
            <rFont val="Tahoma"/>
            <family val="2"/>
          </rPr>
          <t xml:space="preserve">
//</t>
        </r>
      </text>
    </comment>
    <comment ref="F40" authorId="0">
      <text>
        <r>
          <rPr>
            <b/>
            <sz val="9"/>
            <color indexed="81"/>
            <rFont val="Tahoma"/>
            <family val="2"/>
          </rPr>
          <t>SHARRATT Michael:</t>
        </r>
        <r>
          <rPr>
            <sz val="9"/>
            <color indexed="81"/>
            <rFont val="Tahoma"/>
            <family val="2"/>
          </rPr>
          <t xml:space="preserve">
[]</t>
        </r>
      </text>
    </comment>
    <comment ref="F42" authorId="0">
      <text>
        <r>
          <rPr>
            <b/>
            <sz val="9"/>
            <color indexed="81"/>
            <rFont val="Tahoma"/>
            <family val="2"/>
          </rPr>
          <t>SHARRATT Michael:</t>
        </r>
        <r>
          <rPr>
            <sz val="9"/>
            <color indexed="81"/>
            <rFont val="Tahoma"/>
            <family val="2"/>
          </rPr>
          <t xml:space="preserve">
//</t>
        </r>
      </text>
    </comment>
  </commentList>
</comments>
</file>

<file path=xl/comments2.xml><?xml version="1.0" encoding="utf-8"?>
<comments xmlns="http://schemas.openxmlformats.org/spreadsheetml/2006/main">
  <authors>
    <author>SHARRATT Michael</author>
  </authors>
  <commentList>
    <comment ref="F33" authorId="0">
      <text>
        <r>
          <rPr>
            <b/>
            <sz val="9"/>
            <color indexed="81"/>
            <rFont val="Tahoma"/>
            <family val="2"/>
          </rPr>
          <t>SHARRATT Michael:</t>
        </r>
        <r>
          <rPr>
            <sz val="9"/>
            <color indexed="81"/>
            <rFont val="Tahoma"/>
            <family val="2"/>
          </rPr>
          <t xml:space="preserve">
[]</t>
        </r>
      </text>
    </comment>
    <comment ref="F37" authorId="0">
      <text>
        <r>
          <rPr>
            <b/>
            <sz val="9"/>
            <color indexed="81"/>
            <rFont val="Tahoma"/>
            <family val="2"/>
          </rPr>
          <t>SHARRATT Michael:</t>
        </r>
        <r>
          <rPr>
            <sz val="9"/>
            <color indexed="81"/>
            <rFont val="Tahoma"/>
            <family val="2"/>
          </rPr>
          <t xml:space="preserve">
[]</t>
        </r>
      </text>
    </comment>
    <comment ref="F39" authorId="0">
      <text>
        <r>
          <rPr>
            <b/>
            <sz val="9"/>
            <color indexed="81"/>
            <rFont val="Tahoma"/>
            <family val="2"/>
          </rPr>
          <t>SHARRATT Michael:</t>
        </r>
        <r>
          <rPr>
            <sz val="9"/>
            <color indexed="81"/>
            <rFont val="Tahoma"/>
            <family val="2"/>
          </rPr>
          <t xml:space="preserve">
//</t>
        </r>
      </text>
    </comment>
    <comment ref="F40" authorId="0">
      <text>
        <r>
          <rPr>
            <b/>
            <sz val="9"/>
            <color indexed="81"/>
            <rFont val="Tahoma"/>
            <family val="2"/>
          </rPr>
          <t>SHARRATT Michael:</t>
        </r>
        <r>
          <rPr>
            <sz val="9"/>
            <color indexed="81"/>
            <rFont val="Tahoma"/>
            <family val="2"/>
          </rPr>
          <t xml:space="preserve">
[]</t>
        </r>
      </text>
    </comment>
    <comment ref="F42" authorId="0">
      <text>
        <r>
          <rPr>
            <b/>
            <sz val="9"/>
            <color indexed="81"/>
            <rFont val="Tahoma"/>
            <family val="2"/>
          </rPr>
          <t>SHARRATT Michael:</t>
        </r>
        <r>
          <rPr>
            <sz val="9"/>
            <color indexed="81"/>
            <rFont val="Tahoma"/>
            <family val="2"/>
          </rPr>
          <t xml:space="preserve">
//</t>
        </r>
      </text>
    </comment>
  </commentList>
</comments>
</file>

<file path=xl/comments3.xml><?xml version="1.0" encoding="utf-8"?>
<comments xmlns="http://schemas.openxmlformats.org/spreadsheetml/2006/main">
  <authors>
    <author>SHARRATT Michael</author>
  </authors>
  <commentList>
    <comment ref="F22" authorId="0">
      <text>
        <r>
          <rPr>
            <b/>
            <sz val="9"/>
            <color indexed="81"/>
            <rFont val="Tahoma"/>
            <family val="2"/>
          </rPr>
          <t>SHARRATT Michael:</t>
        </r>
        <r>
          <rPr>
            <sz val="9"/>
            <color indexed="81"/>
            <rFont val="Tahoma"/>
            <family val="2"/>
          </rPr>
          <t xml:space="preserve">
[]</t>
        </r>
      </text>
    </comment>
    <comment ref="F33" authorId="0">
      <text>
        <r>
          <rPr>
            <b/>
            <sz val="9"/>
            <color indexed="81"/>
            <rFont val="Tahoma"/>
            <family val="2"/>
          </rPr>
          <t>SHARRATT Michael:</t>
        </r>
        <r>
          <rPr>
            <sz val="9"/>
            <color indexed="81"/>
            <rFont val="Tahoma"/>
            <family val="2"/>
          </rPr>
          <t xml:space="preserve">
[]</t>
        </r>
      </text>
    </comment>
    <comment ref="F37" authorId="0">
      <text>
        <r>
          <rPr>
            <b/>
            <sz val="9"/>
            <color indexed="81"/>
            <rFont val="Tahoma"/>
            <family val="2"/>
          </rPr>
          <t>SHARRATT Michael:</t>
        </r>
        <r>
          <rPr>
            <sz val="9"/>
            <color indexed="81"/>
            <rFont val="Tahoma"/>
            <family val="2"/>
          </rPr>
          <t xml:space="preserve">
[]</t>
        </r>
      </text>
    </comment>
    <comment ref="F39" authorId="0">
      <text>
        <r>
          <rPr>
            <b/>
            <sz val="9"/>
            <color indexed="81"/>
            <rFont val="Tahoma"/>
            <family val="2"/>
          </rPr>
          <t>SHARRATT Michael:</t>
        </r>
        <r>
          <rPr>
            <sz val="9"/>
            <color indexed="81"/>
            <rFont val="Tahoma"/>
            <family val="2"/>
          </rPr>
          <t xml:space="preserve">
//</t>
        </r>
      </text>
    </comment>
    <comment ref="F40" authorId="0">
      <text>
        <r>
          <rPr>
            <b/>
            <sz val="9"/>
            <color indexed="81"/>
            <rFont val="Tahoma"/>
            <family val="2"/>
          </rPr>
          <t>SHARRATT Michael:</t>
        </r>
        <r>
          <rPr>
            <sz val="9"/>
            <color indexed="81"/>
            <rFont val="Tahoma"/>
            <family val="2"/>
          </rPr>
          <t xml:space="preserve">
[]</t>
        </r>
      </text>
    </comment>
    <comment ref="F42" authorId="0">
      <text>
        <r>
          <rPr>
            <b/>
            <sz val="9"/>
            <color indexed="81"/>
            <rFont val="Tahoma"/>
            <family val="2"/>
          </rPr>
          <t>SHARRATT Michael:</t>
        </r>
        <r>
          <rPr>
            <sz val="9"/>
            <color indexed="81"/>
            <rFont val="Tahoma"/>
            <family val="2"/>
          </rPr>
          <t xml:space="preserve">
//</t>
        </r>
      </text>
    </comment>
  </commentList>
</comments>
</file>

<file path=xl/comments4.xml><?xml version="1.0" encoding="utf-8"?>
<comments xmlns="http://schemas.openxmlformats.org/spreadsheetml/2006/main">
  <authors>
    <author>SHARRATT Michael</author>
  </authors>
  <commentList>
    <comment ref="V17" authorId="0">
      <text>
        <r>
          <rPr>
            <sz val="9"/>
            <color indexed="81"/>
            <rFont val="Tahoma"/>
            <family val="2"/>
          </rPr>
          <t>Germany uses an algorithm to apply the appropriate deductibility percentage.</t>
        </r>
      </text>
    </comment>
  </commentList>
</comments>
</file>

<file path=xl/comments5.xml><?xml version="1.0" encoding="utf-8"?>
<comments xmlns="http://schemas.openxmlformats.org/spreadsheetml/2006/main">
  <authors>
    <author>Emilio Rodríguez</author>
  </authors>
  <commentList>
    <comment ref="T31" authorId="0">
      <text>
        <r>
          <rPr>
            <sz val="7"/>
            <color indexed="81"/>
            <rFont val="Tahoma"/>
            <family val="2"/>
          </rPr>
          <t>Updated with the ceiling to the disability and life insurance contribution applicable at the beggining of the year.</t>
        </r>
      </text>
    </comment>
  </commentList>
</comments>
</file>

<file path=xl/comments6.xml><?xml version="1.0" encoding="utf-8"?>
<comments xmlns="http://schemas.openxmlformats.org/spreadsheetml/2006/main">
  <authors>
    <author>Emilio Rodríguez</author>
  </authors>
  <commentList>
    <comment ref="T31" authorId="0">
      <text>
        <r>
          <rPr>
            <sz val="7"/>
            <color indexed="81"/>
            <rFont val="Tahoma"/>
            <family val="2"/>
          </rPr>
          <t>Updated with the ceiling to the disability and life insurance contribution applicable at the beggining of the year.</t>
        </r>
      </text>
    </comment>
  </commentList>
</comments>
</file>

<file path=xl/comments7.xml><?xml version="1.0" encoding="utf-8"?>
<comments xmlns="http://schemas.openxmlformats.org/spreadsheetml/2006/main">
  <authors>
    <author>Emilio Rodríguez</author>
  </authors>
  <commentList>
    <comment ref="T32" authorId="0">
      <text>
        <r>
          <rPr>
            <sz val="7"/>
            <color indexed="81"/>
            <rFont val="Tahoma"/>
            <family val="2"/>
          </rPr>
          <t>Updated with the ceiling to the disability and life insurance contribution applicable at the beggining of the year.</t>
        </r>
      </text>
    </comment>
  </commentList>
</comments>
</file>

<file path=xl/sharedStrings.xml><?xml version="1.0" encoding="utf-8"?>
<sst xmlns="http://schemas.openxmlformats.org/spreadsheetml/2006/main" count="12535" uniqueCount="289">
  <si>
    <t>PART III. Social Security Contribution Tables (2000)</t>
  </si>
  <si>
    <t>Tax base</t>
  </si>
  <si>
    <t>base</t>
  </si>
  <si>
    <t>Country</t>
  </si>
  <si>
    <t> </t>
  </si>
  <si>
    <t>-</t>
  </si>
  <si>
    <t>TY</t>
  </si>
  <si>
    <t>MGE</t>
  </si>
  <si>
    <t>AGE</t>
  </si>
  <si>
    <t>Finland</t>
  </si>
  <si>
    <t>TYs</t>
  </si>
  <si>
    <t>Greece</t>
  </si>
  <si>
    <t>Hungary</t>
  </si>
  <si>
    <t>Italy</t>
  </si>
  <si>
    <t>Japan</t>
  </si>
  <si>
    <t>Korea</t>
  </si>
  <si>
    <t>Norway</t>
  </si>
  <si>
    <t>Portugal</t>
  </si>
  <si>
    <t>TY/TYs</t>
  </si>
  <si>
    <t>WGE</t>
  </si>
  <si>
    <t>United States</t>
  </si>
  <si>
    <t>PART III. Social Security Contribution Tables (2001)</t>
  </si>
  <si>
    <t xml:space="preserve">Czech Republic </t>
  </si>
  <si>
    <t xml:space="preserve">Hungary </t>
  </si>
  <si>
    <t xml:space="preserve">- </t>
  </si>
  <si>
    <t>PART III. Social Security Contribution Tables (2002)</t>
  </si>
  <si>
    <t>Belgium</t>
  </si>
  <si>
    <t>PART III. Social Security Contribution Tables (2003)</t>
  </si>
  <si>
    <t>TC</t>
  </si>
  <si>
    <t xml:space="preserve"> -</t>
  </si>
  <si>
    <t>PART III. Social Security Contribution Tables (2005)</t>
  </si>
  <si>
    <t>PART III. Social Security Contribution Tables (2004)</t>
  </si>
  <si>
    <t>Turkey (TL millions)</t>
  </si>
  <si>
    <r>
      <t>Australia</t>
    </r>
    <r>
      <rPr>
        <b/>
        <vertAlign val="superscript"/>
        <sz val="10"/>
        <rFont val="Arial"/>
        <family val="2"/>
      </rPr>
      <t/>
    </r>
  </si>
  <si>
    <r>
      <t>New Zealand</t>
    </r>
    <r>
      <rPr>
        <b/>
        <vertAlign val="superscript"/>
        <sz val="10"/>
        <rFont val="Arial"/>
        <family val="2"/>
      </rPr>
      <t/>
    </r>
  </si>
  <si>
    <t>New Zealand</t>
  </si>
  <si>
    <t>[23,000]</t>
  </si>
  <si>
    <t>[29,600]</t>
  </si>
  <si>
    <t>[22,200]</t>
  </si>
  <si>
    <t>[21,400]</t>
  </si>
  <si>
    <t>PART III. Social Security Contribution Tables (2006)</t>
  </si>
  <si>
    <t>PART III. Social Security Contribution Tables (2007)</t>
  </si>
  <si>
    <t xml:space="preserve">New Zealand </t>
  </si>
  <si>
    <t>Turkey (YTL)</t>
  </si>
  <si>
    <t>PART III. Social Security Contribution Tables (2008)</t>
  </si>
  <si>
    <t>[8398.8]</t>
  </si>
  <si>
    <t>PART III. Social Security Contribution Tables (2009)</t>
  </si>
  <si>
    <t>United Kingdom*</t>
  </si>
  <si>
    <t>France*</t>
  </si>
  <si>
    <t>Canada*</t>
  </si>
  <si>
    <t>Austria*</t>
  </si>
  <si>
    <t>Slovak Republic*</t>
  </si>
  <si>
    <r>
      <t>France</t>
    </r>
    <r>
      <rPr>
        <b/>
        <vertAlign val="superscript"/>
        <sz val="10"/>
        <rFont val="Arial"/>
        <family val="2"/>
      </rPr>
      <t>*</t>
    </r>
  </si>
  <si>
    <t>Greece*</t>
  </si>
  <si>
    <t>Germany*</t>
  </si>
  <si>
    <t>Turkey (YTL)*</t>
  </si>
  <si>
    <t>Finland*</t>
  </si>
  <si>
    <t>PART III. Social Security Contribution Tables (2010)</t>
  </si>
  <si>
    <t>Estonia*</t>
  </si>
  <si>
    <t>Slovenia</t>
  </si>
  <si>
    <r>
      <t>Netherlands</t>
    </r>
    <r>
      <rPr>
        <b/>
        <vertAlign val="superscript"/>
        <sz val="10"/>
        <rFont val="Arial"/>
        <family val="2"/>
      </rPr>
      <t>+</t>
    </r>
  </si>
  <si>
    <t/>
  </si>
  <si>
    <t>/8868.8/</t>
  </si>
  <si>
    <t>/8737.2/</t>
  </si>
  <si>
    <t>Norway*</t>
  </si>
  <si>
    <t>[39,600]</t>
  </si>
  <si>
    <r>
      <t>Chile*</t>
    </r>
    <r>
      <rPr>
        <b/>
        <vertAlign val="superscript"/>
        <sz val="10"/>
        <rFont val="Arial"/>
        <family val="2"/>
      </rPr>
      <t>+</t>
    </r>
  </si>
  <si>
    <r>
      <t>Denmark</t>
    </r>
    <r>
      <rPr>
        <b/>
        <vertAlign val="superscript"/>
        <sz val="10"/>
        <rFont val="Arial"/>
        <family val="2"/>
      </rPr>
      <t>+</t>
    </r>
  </si>
  <si>
    <r>
      <t>Iceland*</t>
    </r>
    <r>
      <rPr>
        <b/>
        <vertAlign val="superscript"/>
        <sz val="10"/>
        <rFont val="Arial"/>
        <family val="2"/>
      </rPr>
      <t>+</t>
    </r>
  </si>
  <si>
    <r>
      <t>Israel</t>
    </r>
    <r>
      <rPr>
        <b/>
        <vertAlign val="superscript"/>
        <sz val="10"/>
        <rFont val="Arial"/>
        <family val="2"/>
      </rPr>
      <t>+</t>
    </r>
  </si>
  <si>
    <r>
      <t>Luxembourg</t>
    </r>
    <r>
      <rPr>
        <b/>
        <vertAlign val="superscript"/>
        <sz val="10"/>
        <rFont val="Arial"/>
        <family val="2"/>
      </rPr>
      <t>+</t>
    </r>
  </si>
  <si>
    <r>
      <t>Mexico*</t>
    </r>
    <r>
      <rPr>
        <b/>
        <vertAlign val="superscript"/>
        <sz val="10"/>
        <rFont val="Arial"/>
        <family val="2"/>
      </rPr>
      <t>+</t>
    </r>
  </si>
  <si>
    <r>
      <t>Poland*</t>
    </r>
    <r>
      <rPr>
        <b/>
        <vertAlign val="superscript"/>
        <sz val="10"/>
        <rFont val="Arial"/>
        <family val="2"/>
      </rPr>
      <t>+</t>
    </r>
  </si>
  <si>
    <r>
      <t>Sweden*</t>
    </r>
    <r>
      <rPr>
        <b/>
        <vertAlign val="superscript"/>
        <sz val="10"/>
        <rFont val="Arial"/>
        <family val="2"/>
      </rPr>
      <t>+</t>
    </r>
  </si>
  <si>
    <r>
      <t>Switzerland</t>
    </r>
    <r>
      <rPr>
        <b/>
        <vertAlign val="superscript"/>
        <sz val="10"/>
        <rFont val="Arial"/>
        <family val="2"/>
      </rPr>
      <t>+</t>
    </r>
  </si>
  <si>
    <t>[29, 600]</t>
  </si>
  <si>
    <t>Estonia</t>
  </si>
  <si>
    <t>[18,304]</t>
  </si>
  <si>
    <t>[17,628]</t>
  </si>
  <si>
    <t>[15,600]</t>
  </si>
  <si>
    <t>[14,924]</t>
  </si>
  <si>
    <t>[14,922]</t>
  </si>
  <si>
    <r>
      <t>Luxembourg</t>
    </r>
    <r>
      <rPr>
        <b/>
        <vertAlign val="superscript"/>
        <sz val="10"/>
        <rFont val="Arial"/>
        <family val="2"/>
      </rPr>
      <t>+</t>
    </r>
    <r>
      <rPr>
        <b/>
        <sz val="10"/>
        <rFont val="Arial"/>
        <family val="2"/>
      </rPr>
      <t xml:space="preserve"> </t>
    </r>
  </si>
  <si>
    <r>
      <t>Greece</t>
    </r>
    <r>
      <rPr>
        <b/>
        <vertAlign val="superscript"/>
        <sz val="10"/>
        <rFont val="Arial"/>
        <family val="2"/>
      </rPr>
      <t>*</t>
    </r>
  </si>
  <si>
    <r>
      <t>Netherlands</t>
    </r>
    <r>
      <rPr>
        <b/>
        <i/>
        <vertAlign val="superscript"/>
        <sz val="10"/>
        <rFont val="Arial"/>
        <family val="2"/>
      </rPr>
      <t>+</t>
    </r>
  </si>
  <si>
    <t>PART III. Social Security Contribution Tables (2011)</t>
  </si>
  <si>
    <t>/8978.4/</t>
  </si>
  <si>
    <t>PART III. Social Security Contribution Tables (2012)</t>
  </si>
  <si>
    <t>/10,638/</t>
  </si>
  <si>
    <r>
      <t>Luxembourg*</t>
    </r>
    <r>
      <rPr>
        <b/>
        <vertAlign val="superscript"/>
        <sz val="10"/>
        <rFont val="Arial"/>
        <family val="2"/>
      </rPr>
      <t>+</t>
    </r>
  </si>
  <si>
    <t>/8,748/</t>
  </si>
  <si>
    <t>/9,558/</t>
  </si>
  <si>
    <t>Ireland*</t>
  </si>
  <si>
    <t xml:space="preserve">Ireland* </t>
  </si>
  <si>
    <t>Key to abbreviations:</t>
  </si>
  <si>
    <t>n.a.: Data not provided</t>
  </si>
  <si>
    <t>The Euro (€)</t>
  </si>
  <si>
    <t>The figures for 2000 and subsequent years are shown in Euros for all countries in the Eurozone</t>
  </si>
  <si>
    <t>Explanatory notes:</t>
  </si>
  <si>
    <t>Country-specific footnotes:</t>
  </si>
  <si>
    <t>Non-tax compulsory payment (NTCP)</t>
  </si>
  <si>
    <t xml:space="preserve">In some social security systems, both flat rate and progressive rate structures apply.  Where these apply to the same base (e.g., gross earnings), the elements are aggregated for the purpose of reporting in this table. 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t>
  </si>
  <si>
    <t xml:space="preserve"> </t>
  </si>
  <si>
    <r>
      <t xml:space="preserve">Table III.1. Employee social security contribution rates </t>
    </r>
    <r>
      <rPr>
        <b/>
        <vertAlign val="superscript"/>
        <sz val="10"/>
        <rFont val="Arial"/>
        <family val="2"/>
      </rPr>
      <t>1</t>
    </r>
  </si>
  <si>
    <t>PART III. Social Security Contribution Tables (2013)</t>
  </si>
  <si>
    <t>/9,036/</t>
  </si>
  <si>
    <t>/11,743/</t>
  </si>
  <si>
    <t>* : country specific footnotes</t>
  </si>
  <si>
    <t>+ :Non-tax compulsory payment (NTCP)</t>
  </si>
  <si>
    <r>
      <t xml:space="preserve">Canada: </t>
    </r>
    <r>
      <rPr>
        <sz val="10"/>
        <rFont val="Arial Narrow"/>
        <family val="2"/>
      </rPr>
      <t>information on the provincially-administered health care insurance plan is not included. See the Explanatory Annex for a more detailed description of the Canadian system.</t>
    </r>
  </si>
  <si>
    <r>
      <t>Estonia:</t>
    </r>
    <r>
      <rPr>
        <sz val="10"/>
        <rFont val="Arial Narrow"/>
        <family val="2"/>
      </rPr>
      <t xml:space="preserve"> SSC are levied on total gross wage or salary including vacation payments, fringe benefits and remuneration of expenses related to work above a certain threshold.</t>
    </r>
  </si>
  <si>
    <r>
      <t xml:space="preserve">Finland: </t>
    </r>
    <r>
      <rPr>
        <sz val="10"/>
        <rFont val="Arial Narrow"/>
        <family val="2"/>
      </rPr>
      <t>in Finland, the pension insurance contribution amounts to 5.7 per cent  of gross sarary for employees aged 53 or older  (compared to 4.5 per cent for younger workers).  Workers aged 53 or older therefore pay 7.03 per cent of gross salary instead of 5.83 per cent.</t>
    </r>
  </si>
  <si>
    <r>
      <t xml:space="preserve">France: </t>
    </r>
    <r>
      <rPr>
        <sz val="10"/>
        <rFont val="Arial Narrow"/>
        <family val="2"/>
      </rPr>
      <t>These rates apply for non managers. Social security contributions are fully deductible against personal taxable income.</t>
    </r>
  </si>
  <si>
    <r>
      <t xml:space="preserve">Iceland: </t>
    </r>
    <r>
      <rPr>
        <sz val="10"/>
        <rFont val="Arial Narrow"/>
        <family val="2"/>
      </rPr>
      <t>since January 2000, the compulsory payment to (privately-managed) pension funds, which amounts to 4 per cent of wages, is deductible from taxable gross earnings. In addition, optional pension savings of up to 4 per cent of wages may also be deducted. Although these contributions are not considered to be social security contributions (these payments are not made to a publicly-managed fund), they are included in the table in the case of Iceland.</t>
    </r>
  </si>
  <si>
    <r>
      <t xml:space="preserve">Mexico: </t>
    </r>
    <r>
      <rPr>
        <sz val="10"/>
        <rFont val="Arial Narrow"/>
        <family val="2"/>
      </rPr>
      <t>the 0.40% rate applies to monthly earnings in excess of 3 times the monthly minimum legal wage.</t>
    </r>
  </si>
  <si>
    <r>
      <t xml:space="preserve">Norway: </t>
    </r>
    <r>
      <rPr>
        <sz val="10"/>
        <rFont val="Arial Narrow"/>
        <family val="2"/>
      </rPr>
      <t>employees do not make contributions if their wage income is less than NOK 39 600 in 2012.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</si>
  <si>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Poland: </t>
    </r>
    <r>
      <rPr>
        <sz val="10"/>
        <rFont val="Arial Narrow"/>
        <family val="2"/>
      </rPr>
      <t>the additional 9 per cent is levied on gross wages minus the social security contributions that already have been paid.</t>
    </r>
  </si>
  <si>
    <r>
      <t xml:space="preserve">Slovak Republic: </t>
    </r>
    <r>
      <rPr>
        <sz val="10"/>
        <rFont val="Arial Narrow"/>
        <family val="2"/>
      </rPr>
      <t>a minimum contribution is applicable: if the monthly income does not exceed the lower threshold value (minimum wage), then the SSC rate applies to this value.</t>
    </r>
  </si>
  <si>
    <r>
      <t xml:space="preserve">Sweden: </t>
    </r>
    <r>
      <rPr>
        <sz val="10"/>
        <rFont val="Arial Narrow"/>
        <family val="2"/>
      </rPr>
      <t>the contributions (including the maximum contribution) are rounded to the nearest SEK 100.</t>
    </r>
  </si>
  <si>
    <r>
      <t xml:space="preserve">United Kingdom: </t>
    </r>
    <r>
      <rPr>
        <sz val="10"/>
        <rFont val="Arial Narrow"/>
        <family val="2"/>
      </rPr>
      <t xml:space="preserve">the rates and thresholds shown are those in effect as of 5 April.  </t>
    </r>
  </si>
  <si>
    <r>
      <t xml:space="preserve">In these countries employees pay NTCPs. Detailed information on each country can be found on the </t>
    </r>
    <r>
      <rPr>
        <i/>
        <sz val="10"/>
        <rFont val="Arial Narrow"/>
        <family val="2"/>
      </rPr>
      <t>OECD Tax database</t>
    </r>
    <r>
      <rPr>
        <sz val="10"/>
        <rFont val="Arial Narrow"/>
        <family val="2"/>
      </rPr>
      <t xml:space="preserve"> webpage (www.oecd.org/ctp/taxdatabase), under </t>
    </r>
    <r>
      <rPr>
        <i/>
        <sz val="10"/>
        <rFont val="Arial Narrow"/>
        <family val="2"/>
      </rPr>
      <t>B. Personal Taxes / 4. Non-tax compulsory payments</t>
    </r>
    <r>
      <rPr>
        <sz val="10"/>
        <rFont val="Arial Narrow"/>
        <family val="2"/>
      </rPr>
      <t>.</t>
    </r>
  </si>
  <si>
    <r>
      <t xml:space="preserve">Note on aggregation:     </t>
    </r>
    <r>
      <rPr>
        <sz val="10"/>
        <rFont val="Arial Narrow"/>
        <family val="2"/>
      </rPr>
      <t xml:space="preserve">             </t>
    </r>
  </si>
  <si>
    <t xml:space="preserve">WGE: </t>
  </si>
  <si>
    <t>Weekly gross earnings</t>
  </si>
  <si>
    <t>MGE:</t>
  </si>
  <si>
    <t>AGE:</t>
  </si>
  <si>
    <t>Monthly gross earnings</t>
  </si>
  <si>
    <t>Deductibility Base</t>
  </si>
  <si>
    <t>TY:</t>
  </si>
  <si>
    <t>Taxable income measured for central government tax purposes</t>
  </si>
  <si>
    <t>TYs:</t>
  </si>
  <si>
    <t xml:space="preserve">T: </t>
  </si>
  <si>
    <t>(Annual) central government income tax payable</t>
  </si>
  <si>
    <t>Taxable income modified for sub-central government purposes</t>
  </si>
  <si>
    <t>Ts:</t>
  </si>
  <si>
    <t>(Annual) sub-central income tax</t>
  </si>
  <si>
    <t>Annual gross earnings</t>
  </si>
  <si>
    <r>
      <t xml:space="preserve">Canada: </t>
    </r>
    <r>
      <rPr>
        <sz val="10"/>
        <color rgb="FF000000"/>
        <rFont val="Arial Narrow"/>
        <family val="2"/>
      </rPr>
      <t>see the Explanatory Annex for a more detailed description of the Canadian system.</t>
    </r>
  </si>
  <si>
    <r>
      <t xml:space="preserve">Chile: </t>
    </r>
    <r>
      <rPr>
        <sz val="10"/>
        <color rgb="FF000000"/>
        <rFont val="Arial Narrow"/>
        <family val="2"/>
      </rPr>
      <t xml:space="preserve">the contribution rates shown in the table relate to health care. In addition there are some other contributions paid by minority groups that are classified as taxes ( see Explanatory Annex ). </t>
    </r>
  </si>
  <si>
    <r>
      <t>Estonia:</t>
    </r>
    <r>
      <rPr>
        <sz val="10"/>
        <color rgb="FF000000"/>
        <rFont val="Arial Narrow"/>
        <family val="2"/>
      </rPr>
      <t xml:space="preserve"> SSC are levied on total gross wage or salary including vacation payments, fringe benefits and remuneration of expenses related to work above a certain threshold.</t>
    </r>
  </si>
  <si>
    <r>
      <t xml:space="preserve">France: </t>
    </r>
    <r>
      <rPr>
        <sz val="10"/>
        <color rgb="FF000000"/>
        <rFont val="Arial Narrow"/>
        <family val="2"/>
      </rPr>
      <t>These rates apply for non managers. Social security contributions are fully deductible against personal taxable income.</t>
    </r>
  </si>
  <si>
    <r>
      <t xml:space="preserve">Iceland: </t>
    </r>
    <r>
      <rPr>
        <sz val="10"/>
        <color rgb="FF000000"/>
        <rFont val="Arial Narrow"/>
        <family val="2"/>
      </rPr>
      <t>since January 2000, the compulsory payment to (privately-managed) pension funds, which amounts to 4 per cent of wages, is deductible from taxable gross earnings. In addition, optional pension savings of up to 4 per cent of wages may also be deducted. Although these contributions are not considered to be social security contributions (these payments are not made to a publicly-managed fund), they are included in the table in the case of Iceland.</t>
    </r>
  </si>
  <si>
    <r>
      <t>Ireland</t>
    </r>
    <r>
      <rPr>
        <sz val="10"/>
        <color rgb="FF000000"/>
        <rFont val="Arial Narrow"/>
        <family val="2"/>
      </rPr>
      <t xml:space="preserve">: There are two contributions – one for health and another for social insurance. In the case of social insurance, those earning less than EUR 14,922 are exempt. But if the employee is not exempt, then a rate of 4 percent is applied to earnings below the upper threshold subject to an annual allowance of EUR 6,602. This allowance is not cumulative and it is tapered away for earnings levels above the upper threshold. In the case of the health levy, the first EUR 18,487 of annual earnings are exempt. </t>
    </r>
  </si>
  <si>
    <r>
      <t xml:space="preserve">Mexico: </t>
    </r>
    <r>
      <rPr>
        <sz val="10"/>
        <color rgb="FF000000"/>
        <rFont val="Arial Narrow"/>
        <family val="2"/>
      </rPr>
      <t>the 1.68% rate applies to monthly earnings in excess of 3 times the monthly minimum legal wage.</t>
    </r>
  </si>
  <si>
    <r>
      <t xml:space="preserve">Norway: </t>
    </r>
    <r>
      <rPr>
        <sz val="10"/>
        <color rgb="FF000000"/>
        <rFont val="Arial Narrow"/>
        <family val="2"/>
      </rPr>
      <t>employees do not make contributions if their wage income is less than NOK 21 400 in 2000.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</si>
  <si>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Poland: </t>
    </r>
    <r>
      <rPr>
        <sz val="10"/>
        <color rgb="FF000000"/>
        <rFont val="Arial Narrow"/>
        <family val="2"/>
      </rPr>
      <t>source: Taxing Wages.</t>
    </r>
  </si>
  <si>
    <r>
      <t xml:space="preserve">Sweden: </t>
    </r>
    <r>
      <rPr>
        <sz val="10"/>
        <color rgb="FF000000"/>
        <rFont val="Arial Narrow"/>
        <family val="2"/>
      </rPr>
      <t>the contributions (including the maximum contribution) are rounded to the nearest SEK 100.</t>
    </r>
  </si>
  <si>
    <r>
      <t xml:space="preserve">United Kingdom: </t>
    </r>
    <r>
      <rPr>
        <sz val="10"/>
        <color rgb="FF000000"/>
        <rFont val="Arial Narrow"/>
        <family val="2"/>
      </rPr>
      <t xml:space="preserve">the rates and thresholds shown are those in effect as of 5 April. </t>
    </r>
  </si>
  <si>
    <r>
      <t xml:space="preserve">In these countries employees pay NTCPs. Detailed information on each country can be found on the </t>
    </r>
    <r>
      <rPr>
        <i/>
        <sz val="10"/>
        <color rgb="FF000000"/>
        <rFont val="Arial Narrow"/>
        <family val="2"/>
      </rPr>
      <t>OECD Tax database</t>
    </r>
    <r>
      <rPr>
        <sz val="10"/>
        <color rgb="FF000000"/>
        <rFont val="Arial Narrow"/>
        <family val="2"/>
      </rPr>
      <t xml:space="preserve"> webpage (www.oecd.org/ctp/taxdatabase), under </t>
    </r>
    <r>
      <rPr>
        <i/>
        <sz val="10"/>
        <color rgb="FF000000"/>
        <rFont val="Arial Narrow"/>
        <family val="2"/>
      </rPr>
      <t>B. Personal Taxes / 4. Non-tax compulsory payments</t>
    </r>
    <r>
      <rPr>
        <sz val="10"/>
        <color rgb="FF000000"/>
        <rFont val="Arial Narrow"/>
        <family val="2"/>
      </rPr>
      <t>.</t>
    </r>
  </si>
  <si>
    <r>
      <t xml:space="preserve">Note on aggregation:     </t>
    </r>
    <r>
      <rPr>
        <sz val="10"/>
        <color rgb="FF000000"/>
        <rFont val="Arial Narrow"/>
        <family val="2"/>
      </rPr>
      <t xml:space="preserve">             </t>
    </r>
  </si>
  <si>
    <r>
      <t>Chile:</t>
    </r>
    <r>
      <rPr>
        <sz val="10"/>
        <color rgb="FF000000"/>
        <rFont val="Arial Narrow"/>
        <family val="2"/>
      </rPr>
      <t xml:space="preserve"> the contribution rates shown in the table relate to health care. In addition there are some other contributions paid by minority groups that are classified as taxes ( see Explanatory Annex ). </t>
    </r>
  </si>
  <si>
    <r>
      <t xml:space="preserve">France: </t>
    </r>
    <r>
      <rPr>
        <sz val="10"/>
        <color rgb="FF000000"/>
        <rFont val="Arial Narrow"/>
        <family val="2"/>
      </rPr>
      <t xml:space="preserve">These rates apply for non managers. Social security contributions are fully deductible against personal taxable income </t>
    </r>
  </si>
  <si>
    <r>
      <t>Ireland</t>
    </r>
    <r>
      <rPr>
        <sz val="10"/>
        <color rgb="FF000000"/>
        <rFont val="Arial Narrow"/>
        <family val="2"/>
      </rPr>
      <t xml:space="preserve">: There are two contributions – one for health and another for social insurance. In the case of social insurance, those earning less than EUR 14922 are exempt. But if the employee is not exempt, then a rate of 4 percent is applied to earnings below the upper threshold subject to an annual allowance of EUR 6602. This allowance is not cumulative and it is tapered away for earnings levels above the upper threshold. In the case of the health levy, the first EUR 18487 of annual earnings are exempt. </t>
    </r>
  </si>
  <si>
    <r>
      <t xml:space="preserve">Mexico: </t>
    </r>
    <r>
      <rPr>
        <sz val="10"/>
        <color rgb="FF000000"/>
        <rFont val="Arial Narrow"/>
        <family val="2"/>
      </rPr>
      <t>she 1.52% rate applies to monthly gross earnings in excess of 3 times the monthly minimum legal wage.</t>
    </r>
  </si>
  <si>
    <r>
      <t xml:space="preserve">Norway: </t>
    </r>
    <r>
      <rPr>
        <sz val="10"/>
        <color rgb="FF000000"/>
        <rFont val="Arial Narrow"/>
        <family val="2"/>
      </rPr>
      <t>employees do not make contributions if their wage income is less than NOK 22 200 in 2001.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</si>
  <si>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Poland:</t>
    </r>
    <r>
      <rPr>
        <sz val="10"/>
        <color rgb="FF000000"/>
        <rFont val="Arial Narrow"/>
        <family val="2"/>
      </rPr>
      <t xml:space="preserve"> source: Taxing Wages.</t>
    </r>
  </si>
  <si>
    <r>
      <t xml:space="preserve">Slovak Republic: </t>
    </r>
    <r>
      <rPr>
        <sz val="10"/>
        <color rgb="FF000000"/>
        <rFont val="Arial Narrow"/>
        <family val="2"/>
      </rPr>
      <t>a minimum contribution is applicable: if the monthly income does not exceed the lower threshold value, then the SSC rate applies to this value.</t>
    </r>
  </si>
  <si>
    <r>
      <t xml:space="preserve">United Kingdom: </t>
    </r>
    <r>
      <rPr>
        <sz val="10"/>
        <color rgb="FF000000"/>
        <rFont val="Arial Narrow"/>
        <family val="2"/>
      </rPr>
      <t>the rates and thresholds shown are those in effect as of 5 April.</t>
    </r>
  </si>
  <si>
    <r>
      <t xml:space="preserve">France: </t>
    </r>
    <r>
      <rPr>
        <sz val="10"/>
        <color rgb="FF000000"/>
        <rFont val="Arial Narrow"/>
        <family val="2"/>
      </rPr>
      <t xml:space="preserve">These rates apply for non managers. Social security contributions are fully deductible against personal taxable income  </t>
    </r>
  </si>
  <si>
    <r>
      <t xml:space="preserve">Greece: </t>
    </r>
    <r>
      <rPr>
        <sz val="10"/>
        <color rgb="FF000000"/>
        <rFont val="Arial Narrow"/>
        <family val="2"/>
      </rPr>
      <t xml:space="preserve">the rate shown is the one in effect as of 29 April. Before 29 April the rate was 15.90%. The maximum contribution was then correspondingly lower.   </t>
    </r>
  </si>
  <si>
    <r>
      <t>Ireland</t>
    </r>
    <r>
      <rPr>
        <sz val="10"/>
        <color rgb="FF000000"/>
        <rFont val="Arial Narrow"/>
        <family val="2"/>
      </rPr>
      <t xml:space="preserve">: There are two contributions – one for health and another for social insurance. In the case of social insurance, those earning less than EUR 14924 are exempt. But if the employee is not exempt, then a rate of 4 percent is applied to earnings below the upper threshold subject to an annual allowance of EUR 6604. This allowance is not cumulative and it is tapered away for earnings levels above the upper threshold. In the case of the health levy, the first EUR 18512 of annual earnings are exempt. </t>
    </r>
  </si>
  <si>
    <r>
      <t xml:space="preserve">Mexico: </t>
    </r>
    <r>
      <rPr>
        <sz val="10"/>
        <color rgb="FF000000"/>
        <rFont val="Arial Narrow"/>
        <family val="2"/>
      </rPr>
      <t>the 1.36% rate applies to monthly earnings in excess of 3 times the monthly minimum legal wage.</t>
    </r>
  </si>
  <si>
    <r>
      <t xml:space="preserve">Norway: </t>
    </r>
    <r>
      <rPr>
        <sz val="10"/>
        <color rgb="FF000000"/>
        <rFont val="Arial Narrow"/>
        <family val="2"/>
      </rPr>
      <t>employees do not make contributions if their wage income is less than NOK 23 000 in 2002.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</si>
  <si>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Slovak Republic: </t>
    </r>
    <r>
      <rPr>
        <sz val="10"/>
        <color rgb="FF000000"/>
        <rFont val="Arial Narrow"/>
        <family val="2"/>
      </rPr>
      <t xml:space="preserve">a minimum contribution is applicable: if the monthly income does not exceed the lower threshold value, then the SSC rate applies to this value. </t>
    </r>
  </si>
  <si>
    <r>
      <t xml:space="preserve">Mexico: </t>
    </r>
    <r>
      <rPr>
        <sz val="10"/>
        <color rgb="FF000000"/>
        <rFont val="Arial Narrow"/>
        <family val="2"/>
      </rPr>
      <t>the 1.20% rate applies to monthly earnings in excess of 3 times the monthly minimum legal wage.</t>
    </r>
  </si>
  <si>
    <r>
      <t xml:space="preserve">Norway: </t>
    </r>
    <r>
      <rPr>
        <sz val="10"/>
        <color rgb="FF000000"/>
        <rFont val="Arial Narrow"/>
        <family val="2"/>
      </rPr>
      <t>employees do not make contributions if their wage income is less than NOK 23 000 in 2003.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</si>
  <si>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France: </t>
    </r>
    <r>
      <rPr>
        <sz val="10"/>
        <color rgb="FF000000"/>
        <rFont val="Arial Narrow"/>
        <family val="2"/>
      </rPr>
      <t xml:space="preserve">These rates apply for non managers. Social security contributions are fully deductible against personal taxable income.  </t>
    </r>
  </si>
  <si>
    <r>
      <t xml:space="preserve">Mexico: </t>
    </r>
    <r>
      <rPr>
        <sz val="10"/>
        <color rgb="FF000000"/>
        <rFont val="Arial Narrow"/>
        <family val="2"/>
      </rPr>
      <t>the 1.04% rate applies to monthly earnings in excess of 3 times the monthly minimum legal wage.</t>
    </r>
  </si>
  <si>
    <r>
      <t xml:space="preserve">Norway: </t>
    </r>
    <r>
      <rPr>
        <sz val="10"/>
        <color rgb="FF000000"/>
        <rFont val="Arial Narrow"/>
        <family val="2"/>
      </rPr>
      <t>employees do not make contributions if their wage income is less than NOK 23 000 in 2004.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</si>
  <si>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Slovak Republic: </t>
    </r>
    <r>
      <rPr>
        <sz val="10"/>
        <color rgb="FF000000"/>
        <rFont val="Arial Narrow"/>
        <family val="2"/>
      </rPr>
      <t>a minimum contribution is applicable: if the monthly income does not exceed the lower threshold value, then the SSC rate applies to this value. The thresholds in this table are a weighted average of the applicable thresholds, see the Explanatory Annex for more details.</t>
    </r>
  </si>
  <si>
    <r>
      <t>Ireland</t>
    </r>
    <r>
      <rPr>
        <sz val="10"/>
        <color rgb="FF000000"/>
        <rFont val="Arial Narrow"/>
        <family val="2"/>
      </rPr>
      <t xml:space="preserve">: There are two contributions – one for health and another for social insurance. In the case of social insurance, those earning less than EUR 14924 are exempt. But if the employee is not exempt, then a rate of 4 percent is applied to earnings below the upper threshold subject to an annual allowance of EUR 6604. This allowance is not cumulative and it is tapered away for earnings levels above the upper threshold. In the case of the health levy, the first EUR 20872 of annual earnings are exempt. </t>
    </r>
  </si>
  <si>
    <r>
      <t xml:space="preserve">Mexico: </t>
    </r>
    <r>
      <rPr>
        <sz val="10"/>
        <color rgb="FF000000"/>
        <rFont val="Arial Narrow"/>
        <family val="2"/>
      </rPr>
      <t>the 0.88% rate applies to monthly earnings in excess of 3 times the monthly minimum legal wage.</t>
    </r>
  </si>
  <si>
    <r>
      <t xml:space="preserve">Norway: </t>
    </r>
    <r>
      <rPr>
        <sz val="10"/>
        <color rgb="FF000000"/>
        <rFont val="Arial Narrow"/>
        <family val="2"/>
      </rPr>
      <t>employees do not make contributions if their wage income is less than NOK 29 600 in 2005.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</si>
  <si>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Poland: </t>
    </r>
    <r>
      <rPr>
        <sz val="10"/>
        <color rgb="FF000000"/>
        <rFont val="Arial Narrow"/>
        <family val="2"/>
      </rPr>
      <t xml:space="preserve">the additional 8.5 per cent is levied on gross wages minus the social security contributions that already have been paid. </t>
    </r>
  </si>
  <si>
    <r>
      <t xml:space="preserve">Slovak Republic: </t>
    </r>
    <r>
      <rPr>
        <sz val="10"/>
        <color rgb="FF000000"/>
        <rFont val="Arial Narrow"/>
        <family val="2"/>
      </rPr>
      <t>a minimum contribution is applicable: if the monthly income does not exceed the lower threshold value, then the SSC rate applies to this value. The thresholds in this table are those valid for the first half of 2005, see the Explanatory Annex for more details.</t>
    </r>
  </si>
  <si>
    <r>
      <t xml:space="preserve">Turkey (YTL): </t>
    </r>
    <r>
      <rPr>
        <sz val="10"/>
        <color rgb="FF000000"/>
        <rFont val="Arial Narrow"/>
        <family val="2"/>
      </rPr>
      <t>Turkey changed the national currency unit as YTL as of 1 January 2005, where 1 YTL equals 1 million TL.</t>
    </r>
  </si>
  <si>
    <r>
      <t xml:space="preserve">France: </t>
    </r>
    <r>
      <rPr>
        <sz val="10"/>
        <color rgb="FF000000"/>
        <rFont val="Arial Narrow"/>
        <family val="2"/>
      </rPr>
      <t>These rates apply for non managers. Social security contributions are fully deductible against personal taxable income</t>
    </r>
  </si>
  <si>
    <r>
      <t>Ireland</t>
    </r>
    <r>
      <rPr>
        <sz val="10"/>
        <color rgb="FF000000"/>
        <rFont val="Arial Narrow"/>
        <family val="2"/>
      </rPr>
      <t xml:space="preserve">: There are two contributions – one for health and another for social insurance. In the case of social insurance, those earning less than EUR 15,600 are exempt. But if the employee is not exempt, then a rate of 4 percent is applied to earnings below the upper threshold subject to an annual allowance of EUR 6,604. This allowance is not cumulative and it is tapered away for earnings levels above the upper threshold. In the case of the health levy, the first EUR 22,880 of annual earnings are exempt. </t>
    </r>
  </si>
  <si>
    <r>
      <t xml:space="preserve">Mexico: </t>
    </r>
    <r>
      <rPr>
        <sz val="10"/>
        <color rgb="FF000000"/>
        <rFont val="Arial Narrow"/>
        <family val="2"/>
      </rPr>
      <t>the 0.72% rate applies to monthly earnings in excess of 3 times the monthly minimum legal wage.</t>
    </r>
  </si>
  <si>
    <r>
      <t xml:space="preserve">Norway: </t>
    </r>
    <r>
      <rPr>
        <sz val="10"/>
        <color rgb="FF000000"/>
        <rFont val="Arial Narrow"/>
        <family val="2"/>
      </rPr>
      <t>employees do not make contributions if their wage income is less than NOK 29 600 in 2006.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</si>
  <si>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Poland: </t>
    </r>
    <r>
      <rPr>
        <sz val="10"/>
        <color rgb="FF000000"/>
        <rFont val="Arial Narrow"/>
        <family val="2"/>
      </rPr>
      <t>the additional 8.75 per cent is levied on gross wages minus the social security contributions that already have been paid.</t>
    </r>
  </si>
  <si>
    <r>
      <t xml:space="preserve">Slovak Republic: </t>
    </r>
    <r>
      <rPr>
        <sz val="10"/>
        <color rgb="FF000000"/>
        <rFont val="Arial Narrow"/>
        <family val="2"/>
      </rPr>
      <t>a minimum contribution is applicable: if the monthly income does not exceed the lower threshold value (minimum wage), then the SSC rate applies to this value.</t>
    </r>
  </si>
  <si>
    <r>
      <t>Ireland</t>
    </r>
    <r>
      <rPr>
        <sz val="10"/>
        <color rgb="FF000000"/>
        <rFont val="Arial Narrow"/>
        <family val="2"/>
      </rPr>
      <t xml:space="preserve">: There are two contributions – one for health and another for social insurance. In the case of social insurance, those earning less than EUR 17,628 are exempt. But if the employee is not exempt, then a rate of 4 percent is applied to earnings below the upper threshold subject to an annual allowance of EUR 6,604. This allowance is not cumulative and it is tapered away for earnings levels above the upper threshold. In the case of the health levy, the first EUR 24,960 of annual earnings are exempt. </t>
    </r>
  </si>
  <si>
    <r>
      <t xml:space="preserve">Mexico: </t>
    </r>
    <r>
      <rPr>
        <sz val="10"/>
        <color rgb="FF000000"/>
        <rFont val="Arial Narrow"/>
        <family val="2"/>
      </rPr>
      <t>the 0.56% rate applies to monthly earnings in excess of 3 times the monthly minimum legal wage.</t>
    </r>
  </si>
  <si>
    <r>
      <t xml:space="preserve">Norway: </t>
    </r>
    <r>
      <rPr>
        <sz val="10"/>
        <color rgb="FF000000"/>
        <rFont val="Arial Narrow"/>
        <family val="2"/>
      </rPr>
      <t>employees do not make contributions if their wage income is less than NOK 39 600 in 2007.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</si>
  <si>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Poland: </t>
    </r>
    <r>
      <rPr>
        <sz val="10"/>
        <color rgb="FF000000"/>
        <rFont val="Arial Narrow"/>
        <family val="2"/>
      </rPr>
      <t>the additional 9 per cent is levied on gross wages minus the social security contributions that already have been paid.</t>
    </r>
  </si>
  <si>
    <r>
      <t xml:space="preserve">United Kingdom: </t>
    </r>
    <r>
      <rPr>
        <sz val="10"/>
        <color rgb="FF000000"/>
        <rFont val="Arial Narrow"/>
        <family val="2"/>
      </rPr>
      <t xml:space="preserve">the rates and thresholds shown are those in effect as of 5 April.  </t>
    </r>
  </si>
  <si>
    <r>
      <t xml:space="preserve">Greece: </t>
    </r>
    <r>
      <rPr>
        <sz val="10"/>
        <color rgb="FF000000"/>
        <rFont val="Arial Narrow"/>
        <family val="2"/>
      </rPr>
      <t>the threshold shown applies to employees insured after 1 January 1993, from the dates 01/01/2008 - 30/09/2008. Between 01/10/2008 - 31/12/2008 the threshold was EUR 5546.8. For those insured before 1993 between the dates 01/01/2008 - 30/09/2008 the threshold was EUR 2384.5. And between 01/10/2008 - 31/12/2008  EUR 2432.25. See the Explanatory Annex for more details.</t>
    </r>
  </si>
  <si>
    <r>
      <t>Ireland</t>
    </r>
    <r>
      <rPr>
        <sz val="10"/>
        <color rgb="FF000000"/>
        <rFont val="Arial Narrow"/>
        <family val="2"/>
      </rPr>
      <t xml:space="preserve">: There are two contributions – one for health and another for social insurance. In the case of social insurance, those earning less than EUR 18,304 are exempt. But if the employee is not exempt, then a rate of 4 percent is applied to earnings below the upper threshold subject to an annual allowance of EUR 6,604. This allowance is not cumulative and it is tapered away for earnings levels above the upper threshold. In the case of the health levy, the first EUR 26,000 of annual earnings are exempt. </t>
    </r>
  </si>
  <si>
    <r>
      <t xml:space="preserve">Mexico: </t>
    </r>
    <r>
      <rPr>
        <sz val="10"/>
        <color rgb="FF000000"/>
        <rFont val="Arial Narrow"/>
        <family val="2"/>
      </rPr>
      <t>the 0.40% rate applies to monthly earnings in excess of 3 times the monthly minimum legal wage.</t>
    </r>
  </si>
  <si>
    <r>
      <t xml:space="preserve">Norway: </t>
    </r>
    <r>
      <rPr>
        <sz val="10"/>
        <color rgb="FF000000"/>
        <rFont val="Arial Narrow"/>
        <family val="2"/>
      </rPr>
      <t>employees do not make contributions if their wage income is less than NOK 39 600 in 2008.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</si>
  <si>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Chile: </t>
    </r>
    <r>
      <rPr>
        <sz val="10"/>
        <color rgb="FF000000"/>
        <rFont val="Arial Narrow"/>
        <family val="2"/>
      </rPr>
      <t>the contribution rates shown in the table relate to health care. In addition there are some other contributions paid by minority groups that are classified as taxes ( see Explanatory Annex).</t>
    </r>
  </si>
  <si>
    <r>
      <t xml:space="preserve">Finland: </t>
    </r>
    <r>
      <rPr>
        <sz val="10"/>
        <color rgb="FF000000"/>
        <rFont val="Arial Narrow"/>
        <family val="2"/>
      </rPr>
      <t>in Finland, the pension insurance contribution amounts to 5.4 per cent  of gross sarary for employees aged 53 or older  (compared to 4.3 per cent for younger workers).  Workers  aged 53 or older therefore pay 6.3 per cent of gross salary instead of 5.2 per cent.</t>
    </r>
  </si>
  <si>
    <r>
      <t xml:space="preserve">Greece: </t>
    </r>
    <r>
      <rPr>
        <sz val="10"/>
        <color rgb="FF000000"/>
        <rFont val="Arial Narrow"/>
        <family val="2"/>
      </rPr>
      <t>the threshold shown applies to employees insured after 1 January 1993. A lower treshold of EUR 2,432.25 per month applies to employees insured before this date. See the Explanatory Annex for more details.</t>
    </r>
  </si>
  <si>
    <r>
      <t xml:space="preserve">Luxembourg : </t>
    </r>
    <r>
      <rPr>
        <sz val="10"/>
        <color rgb="FF000000"/>
        <rFont val="Arial Narrow"/>
        <family val="2"/>
      </rPr>
      <t xml:space="preserve">Jusqu’en 2008, la continuation de rémunération en cas d’incapacité de travail sur les 15 premières semaines des salariés de statut « employé » est à charge de l’employeur. Par contre, l’assurance maladie-maternité couvre l’entièreté des indemnités pécuniaires des salariés de statut « ouvrier » dès le premier jour d’incapacité de travail. De ce fait deux taux de cotisations sont applicables jusqu’en 2008 (part patronale en 2008 : 2,35% pour les ouvriers et 0,10% pour les employés). Ainsi sur la période 1981-2008 un taux moyen de cotisation est appliqué pour les prestations en espèces-indemnités pécuniaires de maladie (part patronale de 0,82% en 2008) pour l’assurance maladie-maternité. A partir de 2009, la législation sur le statut unique introduit le statut de « salarié », regroupant désormais les salariés « ouvriers » et les salariés « employés », et aligne les conditions au niveau du remboursement des indemnités pécuniaires en cas d’incapacité de travail. Les obligations patronales couvrent désormais les 13 premières semaines d’incapacité de travail pour tous les salariés, et les employeurs sont remboursés à 80% par une mutuelle des employeurs (taux de cotisation en 2009 : 1,79% (estimation)). A partir de la 14ème semaine, les indemnités sont à charge de l’assurance maladie-maternité (en 2009 : part patronale de 0,25%). Suite à l’introduction du statut unique, la part assuré pour indemnité pécuniaires de maladie passe de 0,1 à 0,25% pour les salariés d’ancien statut « employé  » et de 2,35% à 0,25% pour les salariés d’ancien statut « ouvrier ». En même temps, la charge financière des patrons due à la continuation de rémunération (non incluse dans la série statistique) passe de 1,26% en 2008 à 0,45% en 2009 (estimations). </t>
    </r>
  </si>
  <si>
    <r>
      <t xml:space="preserve">Norway: </t>
    </r>
    <r>
      <rPr>
        <sz val="10"/>
        <color rgb="FF000000"/>
        <rFont val="Arial Narrow"/>
        <family val="2"/>
      </rPr>
      <t>employees do not make contributions if their wage income is less than NOK 39 600 in 2009.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</si>
  <si>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 xml:space="preserve">Canada: </t>
    </r>
    <r>
      <rPr>
        <sz val="10"/>
        <color rgb="FF000000"/>
        <rFont val="Arial Narrow"/>
        <family val="2"/>
      </rPr>
      <t>information on the provincially-administered health care insurance plan is not included. See also the Explanatory Annex for a more detailed description of the Canadian system.</t>
    </r>
  </si>
  <si>
    <r>
      <t xml:space="preserve">Finland: </t>
    </r>
    <r>
      <rPr>
        <sz val="10"/>
        <color rgb="FF000000"/>
        <rFont val="Arial Narrow"/>
        <family val="2"/>
      </rPr>
      <t>in Finland, the pension insurance contribution amounts to 5.7 per cent  of gross sarary for employees aged 53 or older  (compared to 4.5 per cent for younger workers).  Workers aged 53 or older therefore pay 7.03 per cent of gross salary instead of 5.83 per cent.</t>
    </r>
  </si>
  <si>
    <r>
      <t xml:space="preserve">Norway: </t>
    </r>
    <r>
      <rPr>
        <sz val="10"/>
        <color rgb="FF000000"/>
        <rFont val="Arial Narrow"/>
        <family val="2"/>
      </rPr>
      <t>employees do not make contributions if their wage income is less than NOK 39 600 in 2010.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</si>
  <si>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Ireland</t>
    </r>
    <r>
      <rPr>
        <sz val="10"/>
        <color rgb="FF000000"/>
        <rFont val="Arial Narrow"/>
        <family val="2"/>
      </rPr>
      <t xml:space="preserve">: Those earning less than EUR 18,304 are exempt. But if the employee is not exempt, then a rate of 4 percent is applied to all earnings subject to an annual allowance of EUR 6,604. </t>
    </r>
  </si>
  <si>
    <r>
      <t xml:space="preserve">Luxembourg: </t>
    </r>
    <r>
      <rPr>
        <sz val="10"/>
        <color rgb="FF000000"/>
        <rFont val="Arial Narrow"/>
        <family val="2"/>
      </rPr>
      <t>For the year 2011, a crisis contribution of 0,8% is withheld on all categories of income (professional and replacement income and non-professional income) for all individuals affiliated to the Luxembourg social security system.</t>
    </r>
  </si>
  <si>
    <r>
      <t xml:space="preserve">Norway: </t>
    </r>
    <r>
      <rPr>
        <sz val="10"/>
        <color rgb="FF000000"/>
        <rFont val="Arial Narrow"/>
        <family val="2"/>
      </rPr>
      <t>employees do not make contributions if their wage income is less than NOK 39 600 in 2011.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</si>
  <si>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r>
      <t>Ireland</t>
    </r>
    <r>
      <rPr>
        <sz val="10"/>
        <color rgb="FF000000"/>
        <rFont val="Arial Narrow"/>
        <family val="2"/>
      </rPr>
      <t xml:space="preserve">: Those earning less than EUR 18,304 are exempt. But if the employee is not exempt, then a rate of 4 percent is applied to all earnings subject to an annual allowance of EUR 6,604. </t>
    </r>
  </si>
  <si>
    <r>
      <t xml:space="preserve">Norway: </t>
    </r>
    <r>
      <rPr>
        <sz val="10"/>
        <color rgb="FF000000"/>
        <rFont val="Arial Narrow"/>
        <family val="2"/>
      </rPr>
      <t>employees do not make contributions if their wage income is less than NOK 39 600 in 2012. Once wage income exceeds this floor, an alternative calculation is made where the contributions equal 25 per cent of the wage income in excess of the floor. The actual contributions made would represent the minimum between the alternative calculation and 7.8 per cent of the total wage income.</t>
    </r>
  </si>
  <si>
    <t>/12,852/</t>
  </si>
  <si>
    <r>
      <t xml:space="preserve">Chile: </t>
    </r>
    <r>
      <rPr>
        <sz val="10"/>
        <rFont val="Arial Narrow"/>
        <family val="2"/>
      </rPr>
      <t>the contribution rates shown in the table relate to health care. In addition there are some other contributions paid by minority groups that are classified as taxes. See Explanatory Annex for more details.</t>
    </r>
  </si>
  <si>
    <r>
      <t>Finland:</t>
    </r>
    <r>
      <rPr>
        <sz val="10"/>
        <rFont val="Arial Narrow"/>
        <family val="2"/>
      </rPr>
      <t xml:space="preserve"> there is an employees’ pension insurance contribution which amounts to 5.55 per cent of gross salary, an employees’ unemployment insurance contribution equal to 0.5 per cent of gross salary and a health insurance contribution for daily allowance equal to 0.84 per cent of gross salary.  For employees aged 53 and older, the pension insurance contribution amounts to 7.05 per cent of gross salary.  These contributions are deductible for income tax purposes.</t>
    </r>
  </si>
  <si>
    <r>
      <t xml:space="preserve">Greece: </t>
    </r>
    <r>
      <rPr>
        <sz val="10"/>
        <rFont val="Arial Narrow"/>
        <family val="2"/>
      </rPr>
      <t>See the Explanatory Annex for more details.</t>
    </r>
  </si>
  <si>
    <r>
      <t xml:space="preserve">Iceland: </t>
    </r>
    <r>
      <rPr>
        <sz val="10"/>
        <rFont val="Arial Narrow"/>
        <family val="2"/>
      </rPr>
      <t>since January 2000, the compulsory payment to (privately-managed) pension funds, which amounts to 4 per cent of wages, is deductible from taxable gross earnings. In addition, optional pension savings of up to 4 per cent of wages may also be deducted. Although these contributions are not considered to be social security contributions (these payments are not made to a publicly-managed fund), they are included in the table in the case of Iceland. PLease refer to the Non-Tax Compulsory Payment (NTCP) report on the OECD tax database webpage. (http://www.oecd.org/ctp/tax-policy/tax-database.htm#NTCP)</t>
    </r>
  </si>
  <si>
    <r>
      <t>Ireland</t>
    </r>
    <r>
      <rPr>
        <sz val="10"/>
        <rFont val="Arial Narrow"/>
        <family val="2"/>
      </rPr>
      <t>: Those earning less than EUR 18,304 are exempt.</t>
    </r>
  </si>
  <si>
    <r>
      <t xml:space="preserve">Mexico: </t>
    </r>
    <r>
      <rPr>
        <sz val="10"/>
        <rFont val="Arial Narrow"/>
        <family val="2"/>
      </rPr>
      <t>For sickness and maternity insurance, 0.625 per cent of the workers monthly wage, plus 0.40 per cent of the amount in excess of three times the minimal legal wage (the amount that applies within the Federal District of Mexico City MWFD).  For disability and life insurance, 0.625 per cent of the monthly wage</t>
    </r>
  </si>
  <si>
    <r>
      <t xml:space="preserve">Norway: </t>
    </r>
    <r>
      <rPr>
        <sz val="10"/>
        <rFont val="Arial Narrow"/>
        <family val="2"/>
      </rPr>
      <t>Employees’ contributions to the National Insurance Scheme generally amount to 8.2 per cent of personal wage income.  Employees do not make contributions if their wage income is less than NOK 39 600.  Once wage income exceeds this floor, an alternative calculation is made where the contributions equal 25 per cent of the wage income in excess of the floor.  The actual contributions made would represent the minimum between the alternative calculation and 8.2 per cent of the total wage income.</t>
    </r>
  </si>
  <si>
    <t>PART III. Social Security Contribution Tables (2014)</t>
  </si>
  <si>
    <t>Spain</t>
  </si>
  <si>
    <t>Tax credit</t>
  </si>
  <si>
    <r>
      <t>Denmark:</t>
    </r>
    <r>
      <rPr>
        <sz val="10"/>
        <color rgb="FF000000"/>
        <rFont val="Arial Narrow"/>
        <family val="2"/>
      </rPr>
      <t xml:space="preserve"> From 2011 the last links regarding social security of the tax were removed making all taxpayers working in Denmark pay the labour market contribution. The labour market contribution is thus treated as a PIT in TaxingWages from 2011.</t>
    </r>
  </si>
  <si>
    <r>
      <t>Denmark*</t>
    </r>
    <r>
      <rPr>
        <b/>
        <vertAlign val="superscript"/>
        <sz val="10"/>
        <rFont val="Arial"/>
        <family val="2"/>
      </rPr>
      <t>+</t>
    </r>
  </si>
  <si>
    <r>
      <t xml:space="preserve">Germany: </t>
    </r>
    <r>
      <rPr>
        <sz val="10"/>
        <rFont val="Arial Narrow"/>
        <family val="2"/>
      </rPr>
      <t>an algorithm is used to apply the appropriate deductibility percentage to taxable income.</t>
    </r>
  </si>
  <si>
    <t>See footnote</t>
  </si>
  <si>
    <t>See footnoe</t>
  </si>
  <si>
    <r>
      <t xml:space="preserve">Sweden: </t>
    </r>
    <r>
      <rPr>
        <sz val="10"/>
        <color rgb="FF000000"/>
        <rFont val="Arial Narrow"/>
        <family val="2"/>
      </rPr>
      <t>the contributions (including the maximum contribution) are rounded to the nearest SEK 100. 25% of the social security contributions are tax credits.</t>
    </r>
  </si>
  <si>
    <r>
      <t xml:space="preserve">Sweden: </t>
    </r>
    <r>
      <rPr>
        <sz val="10"/>
        <color rgb="FF000000"/>
        <rFont val="Arial Narrow"/>
        <family val="2"/>
      </rPr>
      <t>the contributions (including the maximum contribution) are rounded to the nearest SEK 100. 50% of the social security contributions are tax credits.</t>
    </r>
  </si>
  <si>
    <r>
      <t xml:space="preserve">Sweden: </t>
    </r>
    <r>
      <rPr>
        <sz val="10"/>
        <color rgb="FF000000"/>
        <rFont val="Arial Narrow"/>
        <family val="2"/>
      </rPr>
      <t>the contributions (including the maximum contribution) are rounded to the nearest SEK 100. 75% of the social security contributions are tax credits.</t>
    </r>
  </si>
  <si>
    <r>
      <t xml:space="preserve">Sweden: </t>
    </r>
    <r>
      <rPr>
        <sz val="10"/>
        <color rgb="FF000000"/>
        <rFont val="Arial Narrow"/>
        <family val="2"/>
      </rPr>
      <t>the contributions (including the maximum contribution) are rounded to the nearest SEK 100. 87.5% of the social security contributions are tax credits.</t>
    </r>
  </si>
  <si>
    <r>
      <t xml:space="preserve">Germany: </t>
    </r>
    <r>
      <rPr>
        <sz val="10"/>
        <color rgb="FF000000"/>
        <rFont val="Arial Narrow"/>
        <family val="2"/>
      </rPr>
      <t>as of 1 January 2005, the rates are increased by 0.25 percentage points (to 21,1% and 13,25%) for employee who are older than 23 years and has no children. An algorithm is used to apply the appropriate deductibility percentage to taxable income.</t>
    </r>
  </si>
  <si>
    <t xml:space="preserve">Australia </t>
  </si>
  <si>
    <r>
      <t xml:space="preserve">2. </t>
    </r>
    <r>
      <rPr>
        <b/>
        <sz val="10"/>
        <rFont val="Arial Narrow"/>
        <family val="2"/>
      </rPr>
      <t>Schedule:</t>
    </r>
    <r>
      <rPr>
        <sz val="10"/>
        <rFont val="Arial Narrow"/>
        <family val="2"/>
      </rPr>
      <t xml:space="preserve"> Some countries have multiple social security contribution schedules</t>
    </r>
  </si>
  <si>
    <r>
      <t xml:space="preserve">3. </t>
    </r>
    <r>
      <rPr>
        <b/>
        <sz val="10"/>
        <rFont val="Arial Narrow"/>
        <family val="2"/>
      </rPr>
      <t>Lump-sum charge:</t>
    </r>
    <r>
      <rPr>
        <sz val="10"/>
        <rFont val="Arial Narrow"/>
        <family val="2"/>
      </rPr>
      <t xml:space="preserve"> The lump-sum charge (if any) relates to the time-frame in the tax base column. If a taxpayer is exempt from the lump sum charge because his/her earnings or income are below a certain level, this amount is indicated in square brackets [] in the 'lower threshold' column.</t>
    </r>
  </si>
  <si>
    <r>
      <t xml:space="preserve">4. </t>
    </r>
    <r>
      <rPr>
        <b/>
        <sz val="10"/>
        <rFont val="Arial Narrow"/>
        <family val="2"/>
      </rPr>
      <t>Marginal rate:</t>
    </r>
    <r>
      <rPr>
        <sz val="10"/>
        <rFont val="Arial Narrow"/>
        <family val="2"/>
      </rPr>
      <t xml:space="preserve"> The employee social security contribution marginal rates (flat or graduated) are in many cases aggregates of special rates for different social security contribution pools (e.g., for unemployment, health etc) -- see the note below on aggregation.  In such cases, the disaggregated rate can be found in the Explanatory Annex.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t>
    </r>
  </si>
  <si>
    <r>
      <t xml:space="preserve">5. </t>
    </r>
    <r>
      <rPr>
        <b/>
        <sz val="10"/>
        <rFont val="Arial Narrow"/>
        <family val="2"/>
      </rPr>
      <t xml:space="preserve">Base: Lower and upper thresholds: </t>
    </r>
    <r>
      <rPr>
        <sz val="10"/>
        <rFont val="Arial Narrow"/>
        <family val="2"/>
      </rPr>
      <t xml:space="preserve">The base parameters (lower threshold and upper threshold) relate to the SSC calculation and the same time-frame (week, month or year) as indicated in the first (tax base) column. 
- Where a lower threshold is shown without brackets, contributions are calculated as a percentage of gross earnings in excess of this threshold.  
- Where a lower threshold amount is shown in square brackets [], the threshold is not a contribution-free amount deducted from the base but an amount which is used to determine whether the contribution is payable on the total amount of earnings. 
- Where a lower threshold amount is shown in round brackets (), the threshold is decreasing with income. Where a lower threshold is shown in between //, the threshold is the deemed minimum SSC base for full-time workers. The impact of the minimum wage(s), if any, is not considered/ shown. 
- Where an upper threshold value is shown on the same line as the top (or flat) marginal rate, the contributions are 'capped' at this threshold (they are not imposed on the tax base in excess of this amount). The 'lower' and 'upper' thresholds (shown under 'base') are relevant to the marginal rate, unless no marginal rate is shown, in which case the thresholds applies to the lump-sum charge.     </t>
    </r>
  </si>
  <si>
    <r>
      <t xml:space="preserve">6. </t>
    </r>
    <r>
      <rPr>
        <b/>
        <sz val="10"/>
        <rFont val="Arial Narrow"/>
        <family val="2"/>
      </rPr>
      <t>Maximum contribution:</t>
    </r>
    <r>
      <rPr>
        <sz val="10"/>
        <rFont val="Arial Narrow"/>
        <family val="2"/>
      </rPr>
      <t xml:space="preserve"> In general, where a flat contribution rate applies, the maximum contribution (which excludes lump sum charge, if any) is calculated as the contribution rate multiplied by the upper threshhold base amount.  Where a progressive rate structure applies, the maximum contribution is determined in a similar fashion by applying the applicable marginal rates to the corresponding upper threshhold.  A maximum contribution only exists if there is an upper threshold.</t>
    </r>
  </si>
  <si>
    <r>
      <t>Schedule</t>
    </r>
    <r>
      <rPr>
        <vertAlign val="superscript"/>
        <sz val="10"/>
        <rFont val="Arial"/>
        <family val="2"/>
      </rPr>
      <t>2</t>
    </r>
  </si>
  <si>
    <r>
      <t>Lump-sum charge</t>
    </r>
    <r>
      <rPr>
        <vertAlign val="superscript"/>
        <sz val="10"/>
        <rFont val="Arial"/>
        <family val="2"/>
      </rPr>
      <t>3</t>
    </r>
  </si>
  <si>
    <r>
      <t>Marginal rate</t>
    </r>
    <r>
      <rPr>
        <vertAlign val="superscript"/>
        <sz val="10"/>
        <rFont val="Arial"/>
        <family val="2"/>
      </rPr>
      <t>4</t>
    </r>
  </si>
  <si>
    <r>
      <t>Lower threshold</t>
    </r>
    <r>
      <rPr>
        <vertAlign val="superscript"/>
        <sz val="10"/>
        <rFont val="Arial"/>
        <family val="2"/>
      </rPr>
      <t>5</t>
    </r>
  </si>
  <si>
    <r>
      <t>Upper threshold</t>
    </r>
    <r>
      <rPr>
        <vertAlign val="superscript"/>
        <sz val="10"/>
        <rFont val="Arial"/>
        <family val="2"/>
      </rPr>
      <t>5</t>
    </r>
  </si>
  <si>
    <r>
      <t>Maximum contribution</t>
    </r>
    <r>
      <rPr>
        <vertAlign val="superscript"/>
        <sz val="10"/>
        <rFont val="Arial"/>
        <family val="2"/>
      </rPr>
      <t>6</t>
    </r>
  </si>
  <si>
    <t>Denmark+</t>
  </si>
  <si>
    <r>
      <t xml:space="preserve">1. </t>
    </r>
    <r>
      <rPr>
        <b/>
        <sz val="10"/>
        <rFont val="Arial Narrow"/>
        <family val="2"/>
      </rPr>
      <t>Employee social security contribution rates:</t>
    </r>
    <r>
      <rPr>
        <sz val="10"/>
        <rFont val="Arial Narrow"/>
        <family val="2"/>
      </rPr>
      <t xml:space="preserve"> This table reports employee social security contribution rates and related provisions. A representative case is used for those countries where social security provisions vary by locality. Threshold and maximum contribution amounts are shown in national currencies.  For the purpose of this table, a dash ( - ) means 'not applicable'.  Further explanatory notes may be found in the Explanatory Annex. (http://www.oecd.org/ctp/tax-policy/tax-database.htm)</t>
    </r>
  </si>
  <si>
    <r>
      <t xml:space="preserve">Chile: </t>
    </r>
    <r>
      <rPr>
        <sz val="10"/>
        <color rgb="FF000000"/>
        <rFont val="Arial Narrow"/>
        <family val="2"/>
      </rPr>
      <t>the contribution rates shown in the table relate to health care. In addition there are some other contributions paid by minority groups that are classified as taxes. See the Explanatory Annex for more details.</t>
    </r>
  </si>
  <si>
    <r>
      <t xml:space="preserve">Greece: </t>
    </r>
    <r>
      <rPr>
        <sz val="10"/>
        <color rgb="FF000000"/>
        <rFont val="Arial Narrow"/>
        <family val="2"/>
      </rPr>
      <t>as of 1 February 2004 the threshold shown applies to employees insured after 1 January 1993.  A lower treshold of EUR 2,058 (28,815.5/14) applies for employees insured before this date. See the Explanatory Annex for more details.</t>
    </r>
  </si>
  <si>
    <r>
      <t xml:space="preserve">Greece: </t>
    </r>
    <r>
      <rPr>
        <sz val="10"/>
        <color rgb="FF000000"/>
        <rFont val="Arial Narrow"/>
        <family val="2"/>
      </rPr>
      <t>the threshold shown applies to employees insured after 1 January 1993. A lower treshold of EUR 2,140.50 (29,967/14) applies to employees insured before this date. See the Explanatory Annex for more details.</t>
    </r>
  </si>
  <si>
    <r>
      <t xml:space="preserve">Greece: </t>
    </r>
    <r>
      <rPr>
        <sz val="10"/>
        <color rgb="FF000000"/>
        <rFont val="Arial Narrow"/>
        <family val="2"/>
      </rPr>
      <t>the threshold shown applies to employees insured after 1 January 1993. A lower treshold of EUR 2,226 (31,164/14) per month applies to employees insured before this date. See the Explanatory Annex for more details.</t>
    </r>
  </si>
  <si>
    <r>
      <t xml:space="preserve">Greece: </t>
    </r>
    <r>
      <rPr>
        <sz val="10"/>
        <color rgb="FF000000"/>
        <rFont val="Arial Narrow"/>
        <family val="2"/>
      </rPr>
      <t>the threshold shown applies to employees insured after 1 January 1993. A lower treshold of EUR 2,315 (32,410/14) per month applies to employees insured before this date. See the Explanatory Annex for more details.</t>
    </r>
  </si>
  <si>
    <r>
      <t xml:space="preserve">Greece: </t>
    </r>
    <r>
      <rPr>
        <sz val="10"/>
        <color rgb="FF000000"/>
        <rFont val="Arial Narrow"/>
        <family val="2"/>
      </rPr>
      <t>the threshold shown applies to employees insured after 1 January 1993. A lower treshold of EUR 2 432.25 per month applies to employees insured before this date. See the Explanatory Annex for more details.</t>
    </r>
  </si>
  <si>
    <t>Marginal rate</t>
  </si>
  <si>
    <t>Lower threshold</t>
  </si>
  <si>
    <t>Upper threshold</t>
  </si>
  <si>
    <t>Base</t>
  </si>
  <si>
    <t>Czech Republic</t>
  </si>
  <si>
    <t>n.a.</t>
  </si>
  <si>
    <r>
      <t xml:space="preserve">5. </t>
    </r>
    <r>
      <rPr>
        <b/>
        <sz val="10"/>
        <rFont val="Arial Narrow"/>
        <family val="2"/>
      </rPr>
      <t xml:space="preserve">Base: Lower and upper thresholds: </t>
    </r>
    <r>
      <rPr>
        <sz val="10"/>
        <rFont val="Arial Narrow"/>
        <family val="2"/>
      </rPr>
      <t xml:space="preserve">The base parameters (lower threshold and upper threshold) relate to the SSC calculation and the same time-frame (week, month or year) as indicated in the first (tax base) column. 
- Where a lower threshold is shown without brackets, contributions are calculated as a percentage of gross earnings in excess of this threshold.  
- Where a lower threshold amount is shown in square brackets [], the threshold is not a contribution-free amount deducted from the base but an amount which is used to determine whether the contribution is payable on the total amount of earnings. 
- Where a lower threshold amount is shown in round brackets (), the threshold is decreasing with income. 
- Where a lower threshold is shown in between //, the threshold is the deemed minimum SSC base for full-time workers. The impact of the minimum wage(s), if any, is not considered/shown. 
- Where an upper threshold value is shown on the same line as the top (or flat) marginal rate, the contributions are 'capped' at this threshold (they are not imposed on the tax base in excess of this amount). The 'lower' and 'upper' thresholds (shown under 'base') are relevant to the marginal rate, unless no marginal rate is shown, in which case the thresholds applies to the lump-sum charge.     </t>
    </r>
  </si>
  <si>
    <t>% of payment given as relief from personal income tax</t>
  </si>
  <si>
    <t>see footnote</t>
  </si>
  <si>
    <t>Denmark</t>
  </si>
  <si>
    <t>a</t>
  </si>
  <si>
    <t>b</t>
  </si>
  <si>
    <t>c</t>
  </si>
  <si>
    <t>cc</t>
  </si>
  <si>
    <r>
      <t xml:space="preserve">Austria: </t>
    </r>
    <r>
      <rPr>
        <sz val="10"/>
        <rFont val="Arial Narrow"/>
        <family val="2"/>
      </rPr>
      <t xml:space="preserve">Tax Base </t>
    </r>
    <r>
      <rPr>
        <b/>
        <sz val="10"/>
        <rFont val="Arial Narrow"/>
        <family val="2"/>
      </rPr>
      <t xml:space="preserve">- </t>
    </r>
    <r>
      <rPr>
        <sz val="10"/>
        <rFont val="Arial Narrow"/>
        <family val="2"/>
      </rPr>
      <t>14 times the Monthly gross earning (MGE)</t>
    </r>
  </si>
  <si>
    <r>
      <t xml:space="preserve">Austria: </t>
    </r>
    <r>
      <rPr>
        <sz val="10"/>
        <rFont val="Arial Narrow"/>
        <family val="2"/>
      </rPr>
      <t>Tax Base</t>
    </r>
    <r>
      <rPr>
        <b/>
        <sz val="10"/>
        <rFont val="Arial Narrow"/>
        <family val="2"/>
      </rPr>
      <t xml:space="preserve"> - </t>
    </r>
    <r>
      <rPr>
        <sz val="10"/>
        <rFont val="Arial Narrow"/>
        <family val="2"/>
      </rPr>
      <t>14 times the Monthly gross earning (MGE)</t>
    </r>
  </si>
  <si>
    <r>
      <t xml:space="preserve">Austria: </t>
    </r>
    <r>
      <rPr>
        <sz val="10"/>
        <color rgb="FF000000"/>
        <rFont val="Arial Narrow"/>
        <family val="2"/>
      </rPr>
      <t>the lower threhold is equal to EUR 357.74*14. Tax Base - 14 times the Monthly gross earning (MGE)</t>
    </r>
  </si>
  <si>
    <r>
      <t xml:space="preserve">Austria: </t>
    </r>
    <r>
      <rPr>
        <sz val="10"/>
        <color rgb="FF000000"/>
        <rFont val="Arial Narrow"/>
        <family val="2"/>
      </rPr>
      <t>the lower threhold is equal to EUR 349.01*14. Tax Base - 14 times the Monthly gross earning (MGE)</t>
    </r>
  </si>
  <si>
    <r>
      <t xml:space="preserve">Austria: </t>
    </r>
    <r>
      <rPr>
        <sz val="10"/>
        <color rgb="FF000000"/>
        <rFont val="Arial Narrow"/>
        <family val="2"/>
      </rPr>
      <t>the lower threhold is equal to EUR 341.16*14. Tax Base - 14 times the Monthly gross earning (MGE)</t>
    </r>
  </si>
  <si>
    <r>
      <t xml:space="preserve">Austria: </t>
    </r>
    <r>
      <rPr>
        <sz val="10"/>
        <color rgb="FF000000"/>
        <rFont val="Arial Narrow"/>
        <family val="2"/>
      </rPr>
      <t>the lower threhold is equal to 333,16*14. Tax Base - 14 times the Monthly gross earning (MGE)</t>
    </r>
  </si>
  <si>
    <r>
      <t xml:space="preserve">Austria: </t>
    </r>
    <r>
      <rPr>
        <sz val="10"/>
        <color rgb="FF000000"/>
        <rFont val="Arial Narrow"/>
        <family val="2"/>
      </rPr>
      <t>the lower threhold equals to 3,977*14. Tax Base - 14 times the Monthly gross earning (MGE). See also comment on special feature.</t>
    </r>
  </si>
  <si>
    <r>
      <t xml:space="preserve">Austria: </t>
    </r>
    <r>
      <rPr>
        <sz val="10"/>
        <color rgb="FF000000"/>
        <rFont val="Arial Narrow"/>
        <family val="2"/>
      </rPr>
      <t>the lower threhold equals to 3,977*14. Tax Base - 14 times the Monthly gross earning (MGE).</t>
    </r>
  </si>
  <si>
    <r>
      <t xml:space="preserve">Austria: </t>
    </r>
    <r>
      <rPr>
        <sz val="10"/>
        <color rgb="FF000000"/>
        <rFont val="Arial Narrow"/>
        <family val="2"/>
      </rPr>
      <t>the lower threshhold equals to 301.54*14. Tax Base - 14 times the Monthly gross earning (MGE).</t>
    </r>
  </si>
  <si>
    <r>
      <t>Austria:</t>
    </r>
    <r>
      <rPr>
        <sz val="10"/>
        <color rgb="FF000000"/>
        <rFont val="Arial Narrow"/>
        <family val="2"/>
      </rPr>
      <t xml:space="preserve"> the lower threhold equals to 309,38*14. Tax Base - 14 times the Monthly gross earning (MGE).</t>
    </r>
  </si>
  <si>
    <r>
      <t xml:space="preserve">Austria: </t>
    </r>
    <r>
      <rPr>
        <sz val="10"/>
        <color rgb="FF000000"/>
        <rFont val="Arial Narrow"/>
        <family val="2"/>
      </rPr>
      <t>the lower threshold equals to 316,19*14. Tax Base - 14 times the Monthly gross earning (MGE).</t>
    </r>
  </si>
  <si>
    <r>
      <t xml:space="preserve">Austria: </t>
    </r>
    <r>
      <rPr>
        <sz val="10"/>
        <color rgb="FF000000"/>
        <rFont val="Arial Narrow"/>
        <family val="2"/>
      </rPr>
      <t>the lower threhold equals to 323,46*14. Tax Base - 14 times the Monthly gross earning (MGE).</t>
    </r>
  </si>
  <si>
    <t>PART III. Social Security Contribution Tables (2015)</t>
  </si>
  <si>
    <r>
      <t>Finland:</t>
    </r>
    <r>
      <rPr>
        <sz val="10"/>
        <rFont val="Arial Narrow"/>
        <family val="2"/>
      </rPr>
      <t xml:space="preserve"> there is an employees’ pension insurance contribution which amounts to 5.70% of gross salary, an employees’ unemployment insurance contribution equal to 0.65% of gross salary and a health insurance contribution for daily allowance equal to 0.78% of gross salary. For employees aged 53 and older, the pension insurance contribution amounts to 7.30% of gross salary. These contributions are deductible for income tax purposes.</t>
    </r>
  </si>
  <si>
    <r>
      <t>Luxembourg</t>
    </r>
    <r>
      <rPr>
        <b/>
        <vertAlign val="superscript"/>
        <sz val="10"/>
        <color theme="1"/>
        <rFont val="Arial"/>
        <family val="2"/>
      </rPr>
      <t>+</t>
    </r>
  </si>
  <si>
    <r>
      <t>Mexico:</t>
    </r>
    <r>
      <rPr>
        <sz val="10"/>
        <rFont val="Arial Narrow"/>
        <family val="2"/>
      </rPr>
      <t xml:space="preserve"> For sickness and maternity insurance, 0.625% of the workers monthly wage, plus 0.40% of the amount in excess of three times the minimal legal wage (the amount that applies within the Federal District of Mexico City MWFD). For disability and life insurance, 0.625% of the monthly wage.</t>
    </r>
  </si>
  <si>
    <t>[49,650]</t>
  </si>
  <si>
    <r>
      <t xml:space="preserve">Norway: </t>
    </r>
    <r>
      <rPr>
        <sz val="10"/>
        <rFont val="Arial Narrow"/>
        <family val="2"/>
      </rPr>
      <t>Employees’ contributions to the National Insurance Scheme generally amount to 8.2% of personal wage income. Employees do not make contributions if their wage income is less than NOK 49 650. Once wage income exceeds this floor, an alternative calculation is made where the contributions equal 25% of the wage income in excess of the floor. The actual contributions made would represent the minimum between the alternative calculation and 8.2% of the total wage income.</t>
    </r>
  </si>
  <si>
    <t>/9,079.2/</t>
  </si>
  <si>
    <r>
      <t xml:space="preserve">Iceland: </t>
    </r>
    <r>
      <rPr>
        <sz val="10"/>
        <rFont val="Arial Narrow"/>
        <family val="2"/>
      </rPr>
      <t>since January 2000, the compulsory payment to (privately-managed) pension funds, which amounts to 4 per cent of wages, is deductible from taxable gross earnings. In addition, optional pension savings of up to 4 per cent of wages may also be deducted. Although these contributions are not considered to be social security contributions (these payments are not made to a publicly-managed fund), they are included in the table in the case of Iceland. Please refer to the Non-Tax Compulsory Payment (NTCP) report on the OECD tax database webpage. (http://www.oecd.org/ctp/tax-policy/tax-database.htm#NTCP)</t>
    </r>
  </si>
  <si>
    <t>/14,418/</t>
  </si>
  <si>
    <t>[380]</t>
  </si>
  <si>
    <t>[352]</t>
  </si>
  <si>
    <t>Latvia</t>
  </si>
  <si>
    <t>A</t>
  </si>
  <si>
    <t>PART III. Social Security Contribution Tables (2016)</t>
  </si>
  <si>
    <t>[405]</t>
  </si>
  <si>
    <t>/9,172.8/</t>
  </si>
  <si>
    <t>/19,764/</t>
  </si>
  <si>
    <r>
      <t>Finland:</t>
    </r>
    <r>
      <rPr>
        <sz val="10"/>
        <rFont val="Arial Narrow"/>
        <family val="2"/>
      </rPr>
      <t xml:space="preserve"> In addition there is an employees’ pension insurance contribution which amounts to 5.70% of gross salary, an employees’ unemployment insurance contribution equal to 1.15% of gross salary and a health insurance contribution for daily allowance equal to 0.82% of gross salary. For employees aged 53 and older, the pension insurance contribution amounts to 7.20% of gross salary. These contributions are deductible for income tax purposes.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</si>
</sst>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0.00"/>
    <numFmt numFmtId="166" formatCode="??,???,???"/>
    <numFmt numFmtId="167" formatCode="??,???,???.00"/>
    <numFmt numFmtId="168" formatCode="??,???,??0"/>
    <numFmt numFmtId="169" formatCode="???,??0"/>
    <numFmt numFmtId="170" formatCode="???,???.00"/>
    <numFmt numFmtId="171" formatCode="0.0"/>
    <numFmt numFmtId="172" formatCode="???,???"/>
    <numFmt numFmtId="173" formatCode="_(* #,##0.0_);_(* \(#,##0.0\);_(* &quot;-&quot;??_);_(@_)"/>
  </numFmts>
  <fonts count="29">
    <font>
      <sz val="10"/>
      <name val="Arial"/>
    </font>
    <font>
      <sz val="10"/>
      <name val="Arial"/>
      <family val="2"/>
    </font>
    <font>
      <b/>
      <sz val="10"/>
      <name val="Arial"/>
      <family val="2"/>
    </font>
    <font>
      <sz val="10"/>
      <name val="Arial"/>
      <family val="2"/>
    </font>
    <font>
      <b/>
      <vertAlign val="superscript"/>
      <sz val="10"/>
      <name val="Arial"/>
      <family val="2"/>
    </font>
    <font>
      <sz val="8"/>
      <name val="Arial"/>
      <family val="2"/>
    </font>
    <font>
      <sz val="10"/>
      <color indexed="8"/>
      <name val="Arial"/>
      <family val="2"/>
    </font>
    <font>
      <b/>
      <sz val="10"/>
      <color indexed="8"/>
      <name val="Arial"/>
      <family val="2"/>
    </font>
    <font>
      <sz val="7"/>
      <color indexed="81"/>
      <name val="Tahoma"/>
      <family val="2"/>
    </font>
    <font>
      <sz val="10"/>
      <name val="Arial"/>
      <family val="2"/>
    </font>
    <font>
      <b/>
      <i/>
      <vertAlign val="superscript"/>
      <sz val="10"/>
      <name val="Arial"/>
      <family val="2"/>
    </font>
    <font>
      <sz val="10"/>
      <name val="Arial"/>
      <family val="2"/>
    </font>
    <font>
      <sz val="10"/>
      <color rgb="FF9C0006"/>
      <name val="Arial"/>
      <family val="2"/>
    </font>
    <font>
      <b/>
      <sz val="10"/>
      <color theme="1"/>
      <name val="Arial"/>
      <family val="2"/>
    </font>
    <font>
      <b/>
      <sz val="10"/>
      <name val="Arial Narrow"/>
      <family val="2"/>
    </font>
    <font>
      <sz val="10"/>
      <name val="Arial Narrow"/>
      <family val="2"/>
    </font>
    <font>
      <i/>
      <sz val="10"/>
      <name val="Arial Narrow"/>
      <family val="2"/>
    </font>
    <font>
      <b/>
      <sz val="10"/>
      <color rgb="FF000000"/>
      <name val="Arial Narrow"/>
      <family val="2"/>
    </font>
    <font>
      <sz val="10"/>
      <color rgb="FF000000"/>
      <name val="Arial Narrow"/>
      <family val="2"/>
    </font>
    <font>
      <i/>
      <sz val="10"/>
      <color rgb="FF000000"/>
      <name val="Arial Narrow"/>
      <family val="2"/>
    </font>
    <font>
      <sz val="9"/>
      <color indexed="81"/>
      <name val="Tahoma"/>
      <family val="2"/>
    </font>
    <font>
      <b/>
      <sz val="10"/>
      <color theme="0" tint="-0.14999847407452621"/>
      <name val="Arial"/>
      <family val="2"/>
    </font>
    <font>
      <sz val="10"/>
      <color theme="0" tint="-0.14999847407452621"/>
      <name val="Arial"/>
      <family val="2"/>
    </font>
    <font>
      <vertAlign val="superscript"/>
      <sz val="10"/>
      <name val="Arial"/>
      <family val="2"/>
    </font>
    <font>
      <b/>
      <sz val="10"/>
      <color theme="0" tint="-0.34998626667073579"/>
      <name val="Arial"/>
      <family val="2"/>
    </font>
    <font>
      <sz val="10"/>
      <color theme="0" tint="-0.34998626667073579"/>
      <name val="Arial"/>
      <family val="2"/>
    </font>
    <font>
      <sz val="10"/>
      <color rgb="FFFF0000"/>
      <name val="Arial Narrow"/>
      <family val="2"/>
    </font>
    <font>
      <b/>
      <sz val="9"/>
      <color indexed="81"/>
      <name val="Tahoma"/>
      <family val="2"/>
    </font>
    <font>
      <b/>
      <vertAlign val="superscript"/>
      <sz val="10"/>
      <color theme="1"/>
      <name val="Arial"/>
      <family val="2"/>
    </font>
  </fonts>
  <fills count="3">
    <fill>
      <patternFill patternType="none"/>
    </fill>
    <fill>
      <patternFill patternType="gray125"/>
    </fill>
    <fill>
      <patternFill patternType="solid">
        <fgColor rgb="FFFFC7CE"/>
      </patternFill>
    </fill>
  </fills>
  <borders count="17">
    <border>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2" fillId="2"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cellStyleXfs>
  <cellXfs count="563">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applyFill="1" applyBorder="1"/>
    <xf numFmtId="0" fontId="0" fillId="0" borderId="0" xfId="0" applyFill="1"/>
    <xf numFmtId="0" fontId="3" fillId="0" borderId="0" xfId="0" applyFont="1" applyFill="1" applyBorder="1" applyAlignment="1">
      <alignment horizontal="center" wrapText="1"/>
    </xf>
    <xf numFmtId="3" fontId="3" fillId="0" borderId="0" xfId="4" applyNumberFormat="1" applyFont="1" applyFill="1" applyAlignment="1">
      <alignment horizontal="center"/>
    </xf>
    <xf numFmtId="0" fontId="3" fillId="0" borderId="0" xfId="0" quotePrefix="1" applyFont="1" applyFill="1" applyBorder="1" applyAlignment="1">
      <alignment horizontal="center" wrapText="1"/>
    </xf>
    <xf numFmtId="165" fontId="3" fillId="0" borderId="0" xfId="0" applyNumberFormat="1" applyFont="1" applyFill="1" applyAlignment="1">
      <alignment horizontal="center"/>
    </xf>
    <xf numFmtId="0" fontId="3" fillId="0" borderId="0" xfId="0" applyFont="1" applyFill="1" applyAlignment="1">
      <alignment horizontal="left"/>
    </xf>
    <xf numFmtId="166" fontId="3" fillId="0" borderId="0" xfId="0" applyNumberFormat="1" applyFont="1" applyFill="1"/>
    <xf numFmtId="168" fontId="3" fillId="0" borderId="0" xfId="0" applyNumberFormat="1" applyFont="1" applyFill="1"/>
    <xf numFmtId="1" fontId="3" fillId="0" borderId="0" xfId="4" applyNumberFormat="1" applyFont="1" applyFill="1"/>
    <xf numFmtId="1" fontId="3" fillId="0" borderId="0" xfId="0" applyNumberFormat="1" applyFont="1" applyFill="1"/>
    <xf numFmtId="1" fontId="3" fillId="0" borderId="0" xfId="6" applyNumberFormat="1" applyFont="1" applyFill="1"/>
    <xf numFmtId="168" fontId="3" fillId="0" borderId="0" xfId="0" quotePrefix="1" applyNumberFormat="1" applyFont="1" applyFill="1" applyBorder="1" applyAlignment="1">
      <alignment horizontal="center"/>
    </xf>
    <xf numFmtId="0" fontId="3" fillId="0" borderId="0" xfId="0" applyFont="1" applyFill="1" applyBorder="1" applyAlignment="1">
      <alignment wrapText="1"/>
    </xf>
    <xf numFmtId="0" fontId="0" fillId="0" borderId="0" xfId="0" applyFill="1" applyAlignment="1">
      <alignment wrapText="1"/>
    </xf>
    <xf numFmtId="165" fontId="3" fillId="0" borderId="0" xfId="0" applyNumberFormat="1"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wrapText="1"/>
    </xf>
    <xf numFmtId="3" fontId="3" fillId="0" borderId="0" xfId="0" quotePrefix="1" applyNumberFormat="1" applyFont="1" applyFill="1" applyAlignment="1">
      <alignment horizontal="center"/>
    </xf>
    <xf numFmtId="166" fontId="3" fillId="0" borderId="0" xfId="6" quotePrefix="1" applyNumberFormat="1" applyFont="1" applyFill="1" applyBorder="1" applyAlignment="1">
      <alignment horizontal="center"/>
    </xf>
    <xf numFmtId="3" fontId="3" fillId="0" borderId="0" xfId="0" quotePrefix="1" applyNumberFormat="1" applyFont="1" applyFill="1" applyBorder="1" applyAlignment="1">
      <alignment horizontal="center"/>
    </xf>
    <xf numFmtId="0" fontId="0" fillId="0" borderId="0" xfId="0" applyFill="1" applyBorder="1"/>
    <xf numFmtId="0" fontId="2" fillId="0" borderId="0" xfId="0" applyFont="1" applyFill="1" applyBorder="1"/>
    <xf numFmtId="169" fontId="3" fillId="0" borderId="0" xfId="0" applyNumberFormat="1" applyFont="1" applyFill="1" applyAlignment="1"/>
    <xf numFmtId="1"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68" fontId="3" fillId="0" borderId="0" xfId="4" applyNumberFormat="1" applyFont="1" applyFill="1" applyBorder="1" applyAlignment="1">
      <alignment horizontal="center"/>
    </xf>
    <xf numFmtId="0" fontId="1" fillId="0" borderId="0" xfId="0" applyFont="1" applyFill="1" applyAlignment="1">
      <alignment horizontal="center"/>
    </xf>
    <xf numFmtId="169" fontId="3" fillId="0" borderId="0" xfId="0" applyNumberFormat="1" applyFont="1" applyFill="1"/>
    <xf numFmtId="168" fontId="3" fillId="0" borderId="0" xfId="4" quotePrefix="1" applyNumberFormat="1" applyFont="1" applyFill="1" applyBorder="1" applyAlignment="1">
      <alignment horizontal="center"/>
    </xf>
    <xf numFmtId="168" fontId="3" fillId="0" borderId="0" xfId="0" applyNumberFormat="1" applyFont="1" applyFill="1" applyAlignment="1"/>
    <xf numFmtId="0" fontId="6" fillId="0" borderId="0" xfId="0" applyFont="1" applyFill="1"/>
    <xf numFmtId="166" fontId="1" fillId="0" borderId="0" xfId="6" quotePrefix="1" applyNumberFormat="1" applyFont="1" applyFill="1" applyBorder="1" applyAlignment="1">
      <alignment horizontal="center"/>
    </xf>
    <xf numFmtId="0" fontId="0" fillId="0" borderId="0" xfId="0" applyFill="1" applyAlignment="1"/>
    <xf numFmtId="0" fontId="3" fillId="0" borderId="0" xfId="0" applyFont="1" applyFill="1" applyAlignment="1"/>
    <xf numFmtId="164" fontId="3" fillId="0" borderId="0" xfId="0" applyNumberFormat="1" applyFont="1" applyFill="1" applyAlignment="1"/>
    <xf numFmtId="1" fontId="3" fillId="0" borderId="0" xfId="0" applyNumberFormat="1" applyFont="1" applyFill="1" applyAlignment="1"/>
    <xf numFmtId="0" fontId="1" fillId="0" borderId="0" xfId="0" applyFont="1" applyFill="1"/>
    <xf numFmtId="0" fontId="1" fillId="0" borderId="0" xfId="0" applyFont="1" applyFill="1" applyAlignment="1">
      <alignment horizontal="left" vertical="top"/>
    </xf>
    <xf numFmtId="170" fontId="3" fillId="0" borderId="0" xfId="0" quotePrefix="1" applyNumberFormat="1" applyFont="1" applyFill="1" applyBorder="1" applyAlignment="1">
      <alignment horizontal="center"/>
    </xf>
    <xf numFmtId="0" fontId="0" fillId="0" borderId="0" xfId="0" applyFont="1" applyFill="1" applyAlignment="1">
      <alignment horizontal="left" vertical="top"/>
    </xf>
    <xf numFmtId="0" fontId="2" fillId="0" borderId="0" xfId="0" applyFont="1" applyFill="1" applyBorder="1" applyAlignment="1">
      <alignment horizontal="left" vertical="top"/>
    </xf>
    <xf numFmtId="0" fontId="1" fillId="0" borderId="0" xfId="0" applyFont="1" applyFill="1" applyBorder="1" applyAlignment="1">
      <alignment horizontal="left" vertical="top"/>
    </xf>
    <xf numFmtId="165" fontId="1" fillId="0" borderId="0" xfId="0" applyNumberFormat="1" applyFont="1" applyFill="1" applyBorder="1" applyAlignment="1">
      <alignment horizontal="left" vertical="top"/>
    </xf>
    <xf numFmtId="166" fontId="1" fillId="0" borderId="0" xfId="0" applyNumberFormat="1" applyFont="1" applyFill="1" applyBorder="1" applyAlignment="1">
      <alignment horizontal="left" vertical="top"/>
    </xf>
    <xf numFmtId="1" fontId="1" fillId="0" borderId="0" xfId="6" applyNumberFormat="1" applyFont="1" applyFill="1" applyBorder="1" applyAlignment="1">
      <alignment horizontal="left" vertical="top"/>
    </xf>
    <xf numFmtId="168" fontId="1" fillId="0" borderId="0" xfId="0" applyNumberFormat="1" applyFont="1" applyFill="1" applyBorder="1" applyAlignment="1">
      <alignment horizontal="left" vertical="top"/>
    </xf>
    <xf numFmtId="169" fontId="1" fillId="0" borderId="0" xfId="0" applyNumberFormat="1" applyFont="1" applyFill="1" applyBorder="1" applyAlignment="1">
      <alignment horizontal="left" vertical="top"/>
    </xf>
    <xf numFmtId="1" fontId="1" fillId="0" borderId="0" xfId="0" applyNumberFormat="1" applyFont="1" applyFill="1" applyBorder="1" applyAlignment="1">
      <alignment horizontal="left" vertical="top"/>
    </xf>
    <xf numFmtId="164" fontId="1" fillId="0" borderId="0" xfId="0" applyNumberFormat="1" applyFont="1" applyFill="1" applyBorder="1" applyAlignment="1">
      <alignment horizontal="left" vertical="top"/>
    </xf>
    <xf numFmtId="1" fontId="1" fillId="0" borderId="0" xfId="4" applyNumberFormat="1" applyFont="1" applyFill="1" applyBorder="1" applyAlignment="1">
      <alignment horizontal="left" vertical="top"/>
    </xf>
    <xf numFmtId="0" fontId="3" fillId="0" borderId="0" xfId="0" quotePrefix="1" applyFont="1" applyFill="1" applyBorder="1" applyAlignment="1">
      <alignment horizontal="center"/>
    </xf>
    <xf numFmtId="1" fontId="3" fillId="0" borderId="0" xfId="0" quotePrefix="1" applyNumberFormat="1" applyFont="1" applyFill="1" applyBorder="1" applyAlignment="1">
      <alignment horizontal="center"/>
    </xf>
    <xf numFmtId="167" fontId="3" fillId="0" borderId="0" xfId="2" quotePrefix="1" applyNumberFormat="1" applyFont="1" applyFill="1" applyBorder="1" applyAlignment="1">
      <alignment horizontal="left"/>
    </xf>
    <xf numFmtId="1" fontId="3" fillId="0" borderId="0" xfId="6" quotePrefix="1" applyNumberFormat="1" applyFont="1" applyFill="1" applyBorder="1" applyAlignment="1">
      <alignment horizontal="center"/>
    </xf>
    <xf numFmtId="167" fontId="3" fillId="0" borderId="0" xfId="3" quotePrefix="1" applyNumberFormat="1" applyFont="1" applyFill="1" applyBorder="1" applyAlignment="1">
      <alignment horizontal="left"/>
    </xf>
    <xf numFmtId="167" fontId="3" fillId="0" borderId="0" xfId="3" quotePrefix="1" applyNumberFormat="1" applyFont="1" applyFill="1" applyBorder="1" applyAlignment="1">
      <alignment horizontal="center" vertical="center"/>
    </xf>
    <xf numFmtId="165" fontId="1" fillId="0" borderId="0" xfId="0" applyNumberFormat="1" applyFont="1" applyFill="1" applyAlignment="1">
      <alignment horizontal="center"/>
    </xf>
    <xf numFmtId="0" fontId="1" fillId="0" borderId="0" xfId="0" applyFont="1" applyFill="1" applyBorder="1" applyAlignment="1">
      <alignment horizontal="center" wrapText="1"/>
    </xf>
    <xf numFmtId="0" fontId="1" fillId="0" borderId="0" xfId="0" applyFont="1" applyFill="1" applyBorder="1" applyAlignment="1">
      <alignment horizontal="center"/>
    </xf>
    <xf numFmtId="165" fontId="1" fillId="0" borderId="0" xfId="0" applyNumberFormat="1" applyFont="1" applyFill="1" applyBorder="1" applyAlignment="1">
      <alignment horizontal="center"/>
    </xf>
    <xf numFmtId="167" fontId="1" fillId="0" borderId="0" xfId="3" quotePrefix="1" applyNumberFormat="1" applyFont="1" applyFill="1" applyBorder="1" applyAlignment="1">
      <alignment horizontal="center" vertical="center"/>
    </xf>
    <xf numFmtId="170" fontId="1" fillId="0" borderId="0" xfId="0" quotePrefix="1" applyNumberFormat="1" applyFont="1" applyFill="1" applyBorder="1" applyAlignment="1">
      <alignment horizontal="center"/>
    </xf>
    <xf numFmtId="0" fontId="1" fillId="0" borderId="0" xfId="0" quotePrefix="1" applyFont="1" applyFill="1" applyBorder="1" applyAlignment="1">
      <alignment horizontal="center" wrapText="1"/>
    </xf>
    <xf numFmtId="0" fontId="1" fillId="0" borderId="0" xfId="0" quotePrefix="1" applyFont="1" applyFill="1" applyBorder="1" applyAlignment="1">
      <alignment horizontal="center"/>
    </xf>
    <xf numFmtId="1" fontId="1" fillId="0" borderId="0" xfId="6" quotePrefix="1" applyNumberFormat="1" applyFont="1" applyFill="1" applyBorder="1" applyAlignment="1">
      <alignment horizontal="center"/>
    </xf>
    <xf numFmtId="0" fontId="1" fillId="0" borderId="0" xfId="0" applyFont="1" applyFill="1" applyBorder="1" applyAlignment="1">
      <alignment wrapText="1"/>
    </xf>
    <xf numFmtId="0" fontId="1" fillId="0" borderId="0" xfId="0" applyFont="1" applyFill="1" applyAlignment="1">
      <alignment wrapText="1"/>
    </xf>
    <xf numFmtId="166" fontId="1" fillId="0" borderId="0" xfId="0" applyNumberFormat="1" applyFont="1" applyFill="1"/>
    <xf numFmtId="0" fontId="1" fillId="0" borderId="0" xfId="0" applyFont="1" applyFill="1" applyAlignment="1">
      <alignment horizontal="left"/>
    </xf>
    <xf numFmtId="1" fontId="1" fillId="0" borderId="0" xfId="6" applyNumberFormat="1" applyFont="1" applyFill="1"/>
    <xf numFmtId="165" fontId="1" fillId="0" borderId="0" xfId="0" applyNumberFormat="1" applyFont="1" applyFill="1" applyAlignment="1">
      <alignment wrapText="1"/>
    </xf>
    <xf numFmtId="0" fontId="15" fillId="0" borderId="0" xfId="0" applyFont="1" applyFill="1" applyBorder="1"/>
    <xf numFmtId="0" fontId="15" fillId="0" borderId="0" xfId="0" applyFont="1" applyFill="1"/>
    <xf numFmtId="0" fontId="15" fillId="0" borderId="0" xfId="0" applyFont="1" applyAlignment="1">
      <alignment horizontal="left" vertical="top" wrapText="1" readingOrder="1"/>
    </xf>
    <xf numFmtId="0" fontId="15" fillId="0" borderId="0" xfId="0" applyFont="1" applyFill="1" applyAlignment="1">
      <alignment horizontal="center"/>
    </xf>
    <xf numFmtId="165" fontId="15" fillId="0" borderId="0" xfId="0" applyNumberFormat="1" applyFont="1" applyFill="1" applyAlignment="1">
      <alignment horizontal="center"/>
    </xf>
    <xf numFmtId="166" fontId="15" fillId="0" borderId="0" xfId="0" applyNumberFormat="1" applyFont="1" applyFill="1"/>
    <xf numFmtId="0" fontId="15" fillId="0" borderId="0" xfId="0" applyFont="1" applyFill="1" applyAlignment="1">
      <alignment horizontal="left"/>
    </xf>
    <xf numFmtId="1" fontId="15" fillId="0" borderId="0" xfId="6" applyNumberFormat="1" applyFont="1" applyFill="1"/>
    <xf numFmtId="0" fontId="15" fillId="0" borderId="0" xfId="0" applyFont="1" applyAlignment="1">
      <alignment vertical="top" wrapText="1" readingOrder="1"/>
    </xf>
    <xf numFmtId="0" fontId="15" fillId="0" borderId="13" xfId="0" applyFont="1" applyBorder="1" applyAlignment="1">
      <alignment vertical="top" wrapText="1" readingOrder="1"/>
    </xf>
    <xf numFmtId="0" fontId="15" fillId="0" borderId="14" xfId="0" applyFont="1" applyBorder="1" applyAlignment="1">
      <alignment vertical="top" wrapText="1" readingOrder="1"/>
    </xf>
    <xf numFmtId="0" fontId="15" fillId="0" borderId="15" xfId="0" applyFont="1" applyBorder="1" applyAlignment="1">
      <alignment vertical="top" wrapText="1" readingOrder="1"/>
    </xf>
    <xf numFmtId="166" fontId="1" fillId="0" borderId="0" xfId="6" applyNumberFormat="1" applyFont="1" applyFill="1" applyBorder="1" applyAlignment="1">
      <alignment horizontal="center"/>
    </xf>
    <xf numFmtId="166" fontId="3" fillId="0" borderId="0" xfId="6" applyNumberFormat="1" applyFont="1" applyFill="1" applyBorder="1" applyAlignment="1">
      <alignment horizontal="center"/>
    </xf>
    <xf numFmtId="166" fontId="3" fillId="0" borderId="0" xfId="4" applyNumberFormat="1" applyFont="1" applyFill="1" applyBorder="1" applyAlignment="1">
      <alignment horizontal="center"/>
    </xf>
    <xf numFmtId="166" fontId="3" fillId="0" borderId="0" xfId="4" quotePrefix="1" applyNumberFormat="1" applyFont="1" applyFill="1" applyBorder="1" applyAlignment="1">
      <alignment horizontal="center"/>
    </xf>
    <xf numFmtId="1" fontId="3" fillId="0" borderId="0" xfId="4" quotePrefix="1" applyNumberFormat="1"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Alignment="1"/>
    <xf numFmtId="1" fontId="15" fillId="0" borderId="0" xfId="0" applyNumberFormat="1" applyFont="1" applyFill="1"/>
    <xf numFmtId="0" fontId="15" fillId="0" borderId="0" xfId="0" quotePrefix="1" applyFont="1" applyFill="1" applyBorder="1" applyAlignment="1">
      <alignment horizontal="center"/>
    </xf>
    <xf numFmtId="1" fontId="15" fillId="0" borderId="0" xfId="0" quotePrefix="1" applyNumberFormat="1" applyFont="1" applyFill="1" applyBorder="1" applyAlignment="1">
      <alignment horizontal="center"/>
    </xf>
    <xf numFmtId="168" fontId="15" fillId="0" borderId="0" xfId="0" applyNumberFormat="1" applyFont="1" applyFill="1"/>
    <xf numFmtId="169" fontId="15" fillId="0" borderId="0" xfId="0" applyNumberFormat="1" applyFont="1" applyFill="1"/>
    <xf numFmtId="0" fontId="15" fillId="0" borderId="0" xfId="0" applyFont="1" applyAlignment="1">
      <alignment horizontal="left" vertical="top" wrapText="1" readingOrder="1"/>
    </xf>
    <xf numFmtId="0" fontId="15" fillId="0" borderId="0" xfId="0" applyFont="1" applyAlignment="1">
      <alignment horizontal="left" vertical="top" wrapText="1" readingOrder="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top"/>
    </xf>
    <xf numFmtId="0" fontId="15" fillId="0" borderId="4" xfId="0" applyFont="1" applyBorder="1" applyAlignment="1">
      <alignment vertical="top" readingOrder="1"/>
    </xf>
    <xf numFmtId="0" fontId="15" fillId="0" borderId="5" xfId="0" applyFont="1" applyBorder="1" applyAlignment="1">
      <alignment vertical="top" readingOrder="1"/>
    </xf>
    <xf numFmtId="0" fontId="15" fillId="0" borderId="0" xfId="0" applyFont="1" applyBorder="1" applyAlignment="1">
      <alignment vertical="top" readingOrder="1"/>
    </xf>
    <xf numFmtId="0" fontId="15" fillId="0" borderId="9" xfId="0" applyFont="1" applyBorder="1" applyAlignment="1">
      <alignment vertical="top" readingOrder="1"/>
    </xf>
    <xf numFmtId="0" fontId="15" fillId="0" borderId="2" xfId="0" applyFont="1" applyBorder="1" applyAlignment="1">
      <alignment vertical="top" readingOrder="1"/>
    </xf>
    <xf numFmtId="0" fontId="15" fillId="0" borderId="7" xfId="0" applyFont="1" applyBorder="1" applyAlignment="1">
      <alignment vertical="top" readingOrder="1"/>
    </xf>
    <xf numFmtId="0" fontId="15" fillId="0" borderId="2" xfId="0" applyFont="1" applyBorder="1" applyAlignment="1">
      <alignment horizontal="left" vertical="top" readingOrder="1"/>
    </xf>
    <xf numFmtId="0" fontId="15" fillId="0" borderId="7" xfId="0" applyFont="1" applyBorder="1" applyAlignment="1">
      <alignment horizontal="left" vertical="top" readingOrder="1"/>
    </xf>
    <xf numFmtId="0" fontId="22" fillId="0" borderId="0" xfId="0" applyFont="1" applyFill="1" applyBorder="1" applyAlignment="1">
      <alignment horizontal="center" wrapText="1"/>
    </xf>
    <xf numFmtId="2" fontId="22" fillId="0" borderId="0" xfId="0" applyNumberFormat="1" applyFont="1" applyFill="1" applyBorder="1" applyAlignment="1">
      <alignment horizontal="center" wrapText="1"/>
    </xf>
    <xf numFmtId="168" fontId="22" fillId="0" borderId="0" xfId="0" applyNumberFormat="1" applyFont="1" applyFill="1" applyBorder="1" applyAlignment="1">
      <alignment horizontal="center" wrapText="1"/>
    </xf>
    <xf numFmtId="168" fontId="3" fillId="0" borderId="8" xfId="0" applyNumberFormat="1" applyFont="1" applyFill="1" applyBorder="1" applyAlignment="1">
      <alignment horizontal="right"/>
    </xf>
    <xf numFmtId="168" fontId="3" fillId="0" borderId="9" xfId="0" applyNumberFormat="1" applyFont="1" applyFill="1" applyBorder="1" applyAlignment="1">
      <alignment horizontal="right"/>
    </xf>
    <xf numFmtId="168" fontId="3" fillId="0" borderId="6" xfId="0" applyNumberFormat="1" applyFont="1" applyFill="1" applyBorder="1" applyAlignment="1">
      <alignment horizontal="right"/>
    </xf>
    <xf numFmtId="168" fontId="3" fillId="0" borderId="7" xfId="0" applyNumberFormat="1" applyFont="1" applyFill="1" applyBorder="1" applyAlignment="1">
      <alignment horizontal="right"/>
    </xf>
    <xf numFmtId="168" fontId="3" fillId="0" borderId="0" xfId="0" applyNumberFormat="1" applyFont="1" applyFill="1" applyBorder="1" applyAlignment="1">
      <alignment horizontal="right"/>
    </xf>
    <xf numFmtId="165" fontId="3" fillId="0" borderId="0" xfId="0" applyNumberFormat="1" applyFont="1" applyFill="1" applyBorder="1" applyAlignment="1">
      <alignment horizontal="right" wrapText="1"/>
    </xf>
    <xf numFmtId="168" fontId="1" fillId="0" borderId="0" xfId="0" quotePrefix="1" applyNumberFormat="1" applyFont="1" applyFill="1" applyBorder="1" applyAlignment="1">
      <alignment horizontal="right"/>
    </xf>
    <xf numFmtId="166" fontId="1" fillId="0" borderId="0" xfId="6" quotePrefix="1" applyNumberFormat="1" applyFont="1" applyFill="1" applyBorder="1" applyAlignment="1">
      <alignment horizontal="right"/>
    </xf>
    <xf numFmtId="166" fontId="3" fillId="0" borderId="6" xfId="6" applyNumberFormat="1" applyFont="1" applyFill="1" applyBorder="1" applyAlignment="1">
      <alignment horizontal="right"/>
    </xf>
    <xf numFmtId="166" fontId="3" fillId="0" borderId="7" xfId="6" applyNumberFormat="1" applyFont="1" applyFill="1" applyBorder="1" applyAlignment="1">
      <alignment horizontal="right"/>
    </xf>
    <xf numFmtId="166" fontId="3" fillId="0" borderId="8" xfId="6" applyNumberFormat="1" applyFont="1" applyFill="1" applyBorder="1" applyAlignment="1">
      <alignment horizontal="right"/>
    </xf>
    <xf numFmtId="166" fontId="1" fillId="0" borderId="7" xfId="6" quotePrefix="1" applyNumberFormat="1" applyFont="1" applyFill="1" applyBorder="1" applyAlignment="1">
      <alignment horizontal="right"/>
    </xf>
    <xf numFmtId="166" fontId="3" fillId="0" borderId="9" xfId="6" quotePrefix="1" applyNumberFormat="1" applyFont="1" applyFill="1" applyBorder="1" applyAlignment="1">
      <alignment horizontal="right"/>
    </xf>
    <xf numFmtId="165" fontId="3" fillId="0" borderId="0" xfId="0" applyNumberFormat="1" applyFont="1" applyFill="1" applyBorder="1" applyAlignment="1">
      <alignment horizontal="right"/>
    </xf>
    <xf numFmtId="166" fontId="3" fillId="0" borderId="0" xfId="3" applyNumberFormat="1" applyFont="1" applyFill="1" applyBorder="1" applyAlignment="1">
      <alignment horizontal="right" vertical="center"/>
    </xf>
    <xf numFmtId="166" fontId="3" fillId="0" borderId="0" xfId="3" applyNumberFormat="1" applyFont="1" applyFill="1" applyBorder="1" applyAlignment="1">
      <alignment horizontal="right"/>
    </xf>
    <xf numFmtId="166" fontId="3" fillId="0" borderId="0" xfId="0" quotePrefix="1" applyNumberFormat="1" applyFont="1" applyFill="1" applyBorder="1" applyAlignment="1">
      <alignment horizontal="right"/>
    </xf>
    <xf numFmtId="166" fontId="1" fillId="0" borderId="0" xfId="3" quotePrefix="1" applyNumberFormat="1" applyFont="1" applyFill="1" applyBorder="1" applyAlignment="1">
      <alignment horizontal="right"/>
    </xf>
    <xf numFmtId="172" fontId="3" fillId="0" borderId="0" xfId="0" quotePrefix="1" applyNumberFormat="1" applyFont="1" applyFill="1" applyBorder="1" applyAlignment="1">
      <alignment horizontal="right"/>
    </xf>
    <xf numFmtId="168" fontId="1" fillId="0" borderId="8" xfId="0" applyNumberFormat="1" applyFont="1" applyFill="1" applyBorder="1" applyAlignment="1">
      <alignment horizontal="right"/>
    </xf>
    <xf numFmtId="168" fontId="1" fillId="0" borderId="9" xfId="0" applyNumberFormat="1" applyFont="1" applyFill="1" applyBorder="1" applyAlignment="1">
      <alignment horizontal="right"/>
    </xf>
    <xf numFmtId="165" fontId="1" fillId="0" borderId="0" xfId="0" applyNumberFormat="1" applyFont="1" applyFill="1" applyBorder="1" applyAlignment="1">
      <alignment horizontal="right" wrapText="1"/>
    </xf>
    <xf numFmtId="166" fontId="1" fillId="0" borderId="0" xfId="3" quotePrefix="1" applyNumberFormat="1" applyFont="1" applyFill="1" applyBorder="1" applyAlignment="1">
      <alignment horizontal="right" vertical="center"/>
    </xf>
    <xf numFmtId="166" fontId="1" fillId="0" borderId="6" xfId="6" applyNumberFormat="1" applyFont="1" applyFill="1" applyBorder="1" applyAlignment="1">
      <alignment horizontal="right"/>
    </xf>
    <xf numFmtId="166" fontId="1" fillId="0" borderId="7" xfId="6" applyNumberFormat="1" applyFont="1" applyFill="1" applyBorder="1" applyAlignment="1">
      <alignment horizontal="right"/>
    </xf>
    <xf numFmtId="166" fontId="1" fillId="0" borderId="8" xfId="6" applyNumberFormat="1" applyFont="1" applyFill="1" applyBorder="1" applyAlignment="1">
      <alignment horizontal="right"/>
    </xf>
    <xf numFmtId="166" fontId="1" fillId="0" borderId="9" xfId="6" applyNumberFormat="1" applyFont="1" applyFill="1" applyBorder="1" applyAlignment="1">
      <alignment horizontal="right"/>
    </xf>
    <xf numFmtId="165" fontId="22" fillId="0" borderId="0" xfId="0" applyNumberFormat="1" applyFont="1" applyFill="1" applyBorder="1" applyAlignment="1">
      <alignment horizontal="right" wrapText="1"/>
    </xf>
    <xf numFmtId="166" fontId="1" fillId="0" borderId="9" xfId="6" quotePrefix="1" applyNumberFormat="1" applyFont="1" applyFill="1" applyBorder="1" applyAlignment="1">
      <alignment horizontal="right"/>
    </xf>
    <xf numFmtId="165" fontId="1"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168" fontId="3" fillId="0" borderId="8" xfId="4" applyNumberFormat="1" applyFont="1" applyFill="1" applyBorder="1" applyAlignment="1">
      <alignment horizontal="right"/>
    </xf>
    <xf numFmtId="168" fontId="3" fillId="0" borderId="9" xfId="4" applyNumberFormat="1" applyFont="1" applyFill="1" applyBorder="1" applyAlignment="1">
      <alignment horizontal="right"/>
    </xf>
    <xf numFmtId="168" fontId="3" fillId="0" borderId="6" xfId="4" applyNumberFormat="1" applyFont="1" applyFill="1" applyBorder="1" applyAlignment="1">
      <alignment horizontal="right"/>
    </xf>
    <xf numFmtId="168" fontId="3" fillId="0" borderId="7" xfId="4" applyNumberFormat="1" applyFont="1" applyFill="1" applyBorder="1" applyAlignment="1">
      <alignment horizontal="right"/>
    </xf>
    <xf numFmtId="168" fontId="1" fillId="0" borderId="6"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168" fontId="3" fillId="0" borderId="0" xfId="4" quotePrefix="1" applyNumberFormat="1" applyFont="1" applyFill="1" applyBorder="1" applyAlignment="1">
      <alignment horizontal="right"/>
    </xf>
    <xf numFmtId="168" fontId="3" fillId="0" borderId="0" xfId="4" applyNumberFormat="1" applyFont="1" applyFill="1" applyBorder="1" applyAlignment="1">
      <alignment horizontal="right"/>
    </xf>
    <xf numFmtId="172" fontId="15" fillId="0" borderId="0" xfId="0" quotePrefix="1" applyNumberFormat="1" applyFont="1" applyFill="1" applyBorder="1" applyAlignment="1">
      <alignment horizontal="right"/>
    </xf>
    <xf numFmtId="164" fontId="15" fillId="0" borderId="0" xfId="0" applyNumberFormat="1" applyFont="1" applyFill="1" applyBorder="1" applyAlignment="1">
      <alignment horizontal="right"/>
    </xf>
    <xf numFmtId="3" fontId="15" fillId="0" borderId="0" xfId="4" applyNumberFormat="1" applyFont="1" applyFill="1" applyBorder="1" applyAlignment="1">
      <alignment horizontal="right"/>
    </xf>
    <xf numFmtId="166" fontId="15" fillId="0" borderId="0" xfId="0" quotePrefix="1" applyNumberFormat="1" applyFont="1" applyFill="1" applyBorder="1" applyAlignment="1">
      <alignment horizontal="right"/>
    </xf>
    <xf numFmtId="166" fontId="3" fillId="0" borderId="0" xfId="4" quotePrefix="1" applyNumberFormat="1" applyFont="1" applyFill="1" applyBorder="1" applyAlignment="1">
      <alignment horizontal="right"/>
    </xf>
    <xf numFmtId="168" fontId="1" fillId="0" borderId="7" xfId="4" quotePrefix="1" applyNumberFormat="1" applyFont="1" applyFill="1" applyBorder="1" applyAlignment="1">
      <alignment horizontal="right"/>
    </xf>
    <xf numFmtId="166" fontId="3" fillId="0" borderId="6" xfId="4" applyNumberFormat="1" applyFont="1" applyFill="1" applyBorder="1" applyAlignment="1">
      <alignment horizontal="right"/>
    </xf>
    <xf numFmtId="166" fontId="3" fillId="0" borderId="7" xfId="4" applyNumberFormat="1" applyFont="1" applyFill="1" applyBorder="1" applyAlignment="1">
      <alignment horizontal="right"/>
    </xf>
    <xf numFmtId="166" fontId="3" fillId="0" borderId="0" xfId="2" applyNumberFormat="1" applyFont="1" applyFill="1" applyBorder="1" applyAlignment="1">
      <alignment horizontal="right"/>
    </xf>
    <xf numFmtId="166" fontId="1" fillId="0" borderId="7" xfId="4" quotePrefix="1" applyNumberFormat="1" applyFont="1" applyFill="1" applyBorder="1" applyAlignment="1">
      <alignment horizontal="right"/>
    </xf>
    <xf numFmtId="168" fontId="1" fillId="0" borderId="0" xfId="0" quotePrefix="1" applyNumberFormat="1" applyFont="1" applyFill="1" applyBorder="1" applyAlignment="1">
      <alignment horizontal="right" wrapText="1"/>
    </xf>
    <xf numFmtId="167" fontId="1" fillId="0" borderId="0" xfId="2" quotePrefix="1" applyNumberFormat="1" applyFont="1" applyFill="1" applyBorder="1" applyAlignment="1">
      <alignment horizontal="right"/>
    </xf>
    <xf numFmtId="0" fontId="3" fillId="0" borderId="0" xfId="0" quotePrefix="1" applyFont="1" applyFill="1" applyBorder="1" applyAlignment="1">
      <alignment horizontal="center" vertical="center"/>
    </xf>
    <xf numFmtId="0" fontId="15" fillId="0" borderId="0" xfId="0" applyFont="1" applyAlignment="1">
      <alignment horizontal="center" vertical="center" wrapText="1" readingOrder="1"/>
    </xf>
    <xf numFmtId="1" fontId="3" fillId="0" borderId="0" xfId="0" quotePrefix="1" applyNumberFormat="1" applyFont="1" applyFill="1" applyBorder="1" applyAlignment="1">
      <alignment horizontal="center" vertical="center"/>
    </xf>
    <xf numFmtId="3" fontId="1" fillId="0" borderId="0" xfId="0" quotePrefix="1" applyNumberFormat="1" applyFont="1" applyFill="1" applyBorder="1" applyAlignment="1">
      <alignment horizontal="center" vertical="center"/>
    </xf>
    <xf numFmtId="0" fontId="2" fillId="0" borderId="0" xfId="0" applyFont="1" applyFill="1" applyBorder="1" applyAlignment="1">
      <alignment horizontal="center"/>
    </xf>
    <xf numFmtId="0" fontId="0" fillId="0" borderId="0" xfId="0" applyFill="1" applyAlignment="1">
      <alignment horizontal="center" wrapText="1"/>
    </xf>
    <xf numFmtId="0" fontId="2" fillId="0" borderId="0" xfId="0" applyFont="1" applyFill="1" applyBorder="1" applyAlignment="1">
      <alignment horizontal="center" vertical="top" wrapText="1"/>
    </xf>
    <xf numFmtId="0" fontId="14" fillId="0" borderId="0" xfId="0" applyFont="1" applyFill="1" applyBorder="1" applyAlignment="1">
      <alignment horizontal="center"/>
    </xf>
    <xf numFmtId="0" fontId="18" fillId="0" borderId="0" xfId="0" applyFont="1" applyAlignment="1">
      <alignment horizontal="center" vertical="top" readingOrder="1"/>
    </xf>
    <xf numFmtId="166" fontId="1" fillId="0" borderId="0" xfId="0" quotePrefix="1" applyNumberFormat="1" applyFont="1" applyFill="1" applyBorder="1" applyAlignment="1">
      <alignment horizontal="right"/>
    </xf>
    <xf numFmtId="168" fontId="1" fillId="0" borderId="0" xfId="4" quotePrefix="1" applyNumberFormat="1" applyFont="1" applyFill="1" applyBorder="1" applyAlignment="1">
      <alignment horizontal="right"/>
    </xf>
    <xf numFmtId="0" fontId="2" fillId="0" borderId="0" xfId="0" applyFont="1" applyFill="1" applyBorder="1" applyAlignment="1">
      <alignment horizontal="right"/>
    </xf>
    <xf numFmtId="0" fontId="14" fillId="0" borderId="0" xfId="0" applyFont="1" applyAlignment="1">
      <alignment vertical="top" wrapText="1" readingOrder="1"/>
    </xf>
    <xf numFmtId="0" fontId="2" fillId="0" borderId="0" xfId="0" applyFont="1" applyFill="1" applyBorder="1" applyAlignment="1">
      <alignment horizontal="right" vertical="top" wrapText="1"/>
    </xf>
    <xf numFmtId="0" fontId="14" fillId="0" borderId="0" xfId="0" applyFont="1" applyFill="1" applyBorder="1" applyAlignment="1">
      <alignment horizontal="right"/>
    </xf>
    <xf numFmtId="168" fontId="1" fillId="0" borderId="9" xfId="0" quotePrefix="1" applyNumberFormat="1" applyFont="1" applyFill="1" applyBorder="1" applyAlignment="1">
      <alignment horizontal="right"/>
    </xf>
    <xf numFmtId="166" fontId="3" fillId="0" borderId="9" xfId="6" applyNumberFormat="1" applyFont="1" applyFill="1" applyBorder="1" applyAlignment="1">
      <alignment horizontal="right"/>
    </xf>
    <xf numFmtId="166" fontId="3" fillId="0" borderId="8" xfId="4" applyNumberFormat="1" applyFont="1" applyFill="1" applyBorder="1" applyAlignment="1">
      <alignment horizontal="right"/>
    </xf>
    <xf numFmtId="166" fontId="3" fillId="0" borderId="9" xfId="4" applyNumberFormat="1" applyFont="1" applyFill="1" applyBorder="1" applyAlignment="1">
      <alignment horizontal="right"/>
    </xf>
    <xf numFmtId="0" fontId="25" fillId="0" borderId="0" xfId="0" applyFont="1" applyFill="1" applyBorder="1" applyAlignment="1">
      <alignment horizontal="center" wrapText="1"/>
    </xf>
    <xf numFmtId="168" fontId="0" fillId="0" borderId="8" xfId="0" applyNumberFormat="1" applyFill="1" applyBorder="1" applyAlignment="1">
      <alignment horizontal="right"/>
    </xf>
    <xf numFmtId="168" fontId="0" fillId="0" borderId="9" xfId="0" applyNumberFormat="1" applyFill="1" applyBorder="1" applyAlignment="1">
      <alignment horizontal="right"/>
    </xf>
    <xf numFmtId="166" fontId="1" fillId="0" borderId="0" xfId="4" quotePrefix="1" applyNumberFormat="1" applyFont="1" applyFill="1" applyBorder="1" applyAlignment="1">
      <alignment horizontal="right"/>
    </xf>
    <xf numFmtId="173" fontId="1" fillId="0" borderId="0" xfId="2" quotePrefix="1" applyNumberFormat="1" applyFont="1" applyFill="1" applyBorder="1" applyAlignment="1">
      <alignment horizontal="right" vertical="center"/>
    </xf>
    <xf numFmtId="173" fontId="1" fillId="0" borderId="0" xfId="2" applyNumberFormat="1" applyFont="1" applyFill="1" applyBorder="1" applyAlignment="1">
      <alignment horizontal="right" vertical="center"/>
    </xf>
    <xf numFmtId="173" fontId="22" fillId="0" borderId="0" xfId="2" applyNumberFormat="1" applyFont="1" applyFill="1" applyBorder="1" applyAlignment="1">
      <alignment horizontal="right" vertical="center"/>
    </xf>
    <xf numFmtId="173" fontId="22" fillId="0" borderId="0" xfId="2" applyNumberFormat="1" applyFont="1" applyFill="1" applyBorder="1" applyAlignment="1">
      <alignment horizontal="center" vertical="center" wrapText="1"/>
    </xf>
    <xf numFmtId="173" fontId="3" fillId="0" borderId="0" xfId="2" applyNumberFormat="1" applyFont="1" applyFill="1" applyBorder="1" applyAlignment="1">
      <alignment horizontal="right" vertical="center"/>
    </xf>
    <xf numFmtId="173" fontId="3" fillId="0" borderId="0" xfId="2" applyNumberFormat="1" applyFont="1" applyFill="1" applyBorder="1" applyAlignment="1">
      <alignment horizontal="right" vertical="center" wrapText="1"/>
    </xf>
    <xf numFmtId="173" fontId="2" fillId="0" borderId="0" xfId="2" applyNumberFormat="1" applyFont="1" applyFill="1" applyBorder="1" applyAlignment="1">
      <alignment horizontal="center" wrapText="1"/>
    </xf>
    <xf numFmtId="173" fontId="3" fillId="0" borderId="0" xfId="2" quotePrefix="1" applyNumberFormat="1" applyFont="1" applyFill="1" applyBorder="1" applyAlignment="1">
      <alignment horizontal="right" vertical="center" wrapText="1"/>
    </xf>
    <xf numFmtId="173" fontId="3" fillId="0" borderId="0" xfId="2" applyNumberFormat="1" applyFont="1" applyFill="1" applyBorder="1" applyAlignment="1">
      <alignment horizontal="right"/>
    </xf>
    <xf numFmtId="173" fontId="22" fillId="0" borderId="0" xfId="2" applyNumberFormat="1" applyFont="1" applyFill="1" applyBorder="1" applyAlignment="1">
      <alignment horizontal="right" wrapText="1"/>
    </xf>
    <xf numFmtId="173" fontId="3" fillId="0" borderId="0" xfId="2" applyNumberFormat="1" applyFont="1" applyFill="1" applyBorder="1" applyAlignment="1">
      <alignment horizontal="right" wrapText="1"/>
    </xf>
    <xf numFmtId="173" fontId="1" fillId="0" borderId="0" xfId="2" quotePrefix="1" applyNumberFormat="1" applyFont="1" applyFill="1" applyBorder="1" applyAlignment="1">
      <alignment horizontal="right"/>
    </xf>
    <xf numFmtId="173" fontId="25" fillId="0" borderId="0" xfId="2" applyNumberFormat="1" applyFont="1" applyFill="1" applyBorder="1" applyAlignment="1">
      <alignment horizontal="right" wrapText="1"/>
    </xf>
    <xf numFmtId="173" fontId="22" fillId="0" borderId="0" xfId="2" applyNumberFormat="1" applyFont="1" applyFill="1" applyBorder="1" applyAlignment="1">
      <alignment horizontal="right"/>
    </xf>
    <xf numFmtId="173" fontId="3" fillId="0" borderId="0" xfId="2" quotePrefix="1" applyNumberFormat="1" applyFont="1" applyFill="1" applyBorder="1" applyAlignment="1">
      <alignment horizontal="right"/>
    </xf>
    <xf numFmtId="173" fontId="3" fillId="0" borderId="0" xfId="2" quotePrefix="1" applyNumberFormat="1" applyFont="1" applyFill="1" applyBorder="1" applyAlignment="1">
      <alignment horizontal="right" vertical="center"/>
    </xf>
    <xf numFmtId="165" fontId="22" fillId="0" borderId="0" xfId="0" quotePrefix="1" applyNumberFormat="1" applyFont="1" applyFill="1" applyBorder="1" applyAlignment="1">
      <alignment horizontal="center"/>
    </xf>
    <xf numFmtId="166" fontId="22" fillId="0" borderId="0" xfId="6" quotePrefix="1" applyNumberFormat="1" applyFont="1" applyFill="1" applyBorder="1" applyAlignment="1">
      <alignment horizontal="center"/>
    </xf>
    <xf numFmtId="173" fontId="22" fillId="0" borderId="0" xfId="2" quotePrefix="1" applyNumberFormat="1" applyFont="1" applyFill="1" applyBorder="1" applyAlignment="1">
      <alignment horizontal="center" vertical="center"/>
    </xf>
    <xf numFmtId="165" fontId="1" fillId="0" borderId="0" xfId="0" quotePrefix="1" applyNumberFormat="1" applyFont="1" applyFill="1" applyBorder="1" applyAlignment="1">
      <alignment horizontal="right"/>
    </xf>
    <xf numFmtId="0" fontId="1" fillId="0" borderId="0" xfId="0" applyFont="1" applyFill="1" applyBorder="1"/>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wrapText="1"/>
    </xf>
    <xf numFmtId="165" fontId="1" fillId="0" borderId="16" xfId="0" applyNumberFormat="1" applyFont="1" applyFill="1" applyBorder="1" applyAlignment="1">
      <alignment horizontal="center" vertical="center" wrapText="1"/>
    </xf>
    <xf numFmtId="167" fontId="1" fillId="0" borderId="16"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66" fontId="1" fillId="0" borderId="10" xfId="0" applyNumberFormat="1" applyFont="1" applyFill="1" applyBorder="1" applyAlignment="1">
      <alignment horizontal="center" vertical="center" wrapText="1"/>
    </xf>
    <xf numFmtId="166" fontId="1" fillId="0" borderId="11" xfId="0" applyNumberFormat="1" applyFont="1" applyFill="1" applyBorder="1" applyAlignment="1">
      <alignment horizontal="center" vertical="center" wrapText="1"/>
    </xf>
    <xf numFmtId="166" fontId="22" fillId="0" borderId="8" xfId="6" quotePrefix="1" applyNumberFormat="1" applyFont="1" applyFill="1" applyBorder="1" applyAlignment="1">
      <alignment horizontal="center"/>
    </xf>
    <xf numFmtId="166" fontId="22" fillId="0" borderId="9" xfId="6" quotePrefix="1" applyNumberFormat="1" applyFont="1" applyFill="1" applyBorder="1" applyAlignment="1">
      <alignment horizontal="center"/>
    </xf>
    <xf numFmtId="166" fontId="1" fillId="0" borderId="8" xfId="6" quotePrefix="1" applyNumberFormat="1" applyFont="1" applyFill="1" applyBorder="1" applyAlignment="1">
      <alignment horizontal="right"/>
    </xf>
    <xf numFmtId="168" fontId="1" fillId="0" borderId="8" xfId="0" quotePrefix="1" applyNumberFormat="1" applyFont="1" applyFill="1" applyBorder="1" applyAlignment="1">
      <alignment horizontal="right"/>
    </xf>
    <xf numFmtId="166" fontId="1" fillId="0" borderId="8" xfId="0" applyNumberFormat="1" applyFont="1" applyFill="1" applyBorder="1" applyAlignment="1">
      <alignment horizontal="right"/>
    </xf>
    <xf numFmtId="166" fontId="1" fillId="0" borderId="9" xfId="0" applyNumberFormat="1" applyFont="1" applyFill="1" applyBorder="1" applyAlignment="1">
      <alignment horizontal="right"/>
    </xf>
    <xf numFmtId="168" fontId="22" fillId="0" borderId="8" xfId="0" applyNumberFormat="1" applyFont="1" applyFill="1" applyBorder="1" applyAlignment="1">
      <alignment horizontal="right"/>
    </xf>
    <xf numFmtId="168" fontId="22" fillId="0" borderId="9" xfId="0" applyNumberFormat="1" applyFont="1" applyFill="1" applyBorder="1" applyAlignment="1">
      <alignment horizontal="right"/>
    </xf>
    <xf numFmtId="168" fontId="1" fillId="0" borderId="8" xfId="0" applyNumberFormat="1" applyFont="1" applyFill="1" applyBorder="1" applyAlignment="1">
      <alignment horizontal="right" wrapText="1"/>
    </xf>
    <xf numFmtId="168" fontId="1" fillId="0" borderId="9" xfId="0" applyNumberFormat="1" applyFont="1" applyFill="1" applyBorder="1" applyAlignment="1">
      <alignment horizontal="right" wrapText="1"/>
    </xf>
    <xf numFmtId="166" fontId="1" fillId="0" borderId="9" xfId="0" quotePrefix="1" applyNumberFormat="1" applyFont="1" applyFill="1" applyBorder="1" applyAlignment="1">
      <alignment horizontal="right"/>
    </xf>
    <xf numFmtId="0" fontId="21" fillId="0" borderId="3" xfId="0" applyFont="1" applyFill="1" applyBorder="1" applyAlignment="1">
      <alignment horizontal="right"/>
    </xf>
    <xf numFmtId="0" fontId="22" fillId="0" borderId="4" xfId="0" quotePrefix="1" applyFont="1" applyFill="1" applyBorder="1" applyAlignment="1">
      <alignment horizontal="center"/>
    </xf>
    <xf numFmtId="165" fontId="22" fillId="0" borderId="4" xfId="0" quotePrefix="1" applyNumberFormat="1" applyFont="1" applyFill="1" applyBorder="1" applyAlignment="1">
      <alignment horizontal="center"/>
    </xf>
    <xf numFmtId="166" fontId="22" fillId="0" borderId="3" xfId="6" quotePrefix="1" applyNumberFormat="1" applyFont="1" applyFill="1" applyBorder="1" applyAlignment="1">
      <alignment horizontal="center"/>
    </xf>
    <xf numFmtId="166" fontId="22" fillId="0" borderId="5" xfId="6" quotePrefix="1" applyNumberFormat="1" applyFont="1" applyFill="1" applyBorder="1" applyAlignment="1">
      <alignment horizontal="center"/>
    </xf>
    <xf numFmtId="166" fontId="22" fillId="0" borderId="4" xfId="6" quotePrefix="1" applyNumberFormat="1" applyFont="1" applyFill="1" applyBorder="1" applyAlignment="1">
      <alignment horizontal="center"/>
    </xf>
    <xf numFmtId="173" fontId="22" fillId="0" borderId="4" xfId="2" quotePrefix="1" applyNumberFormat="1" applyFont="1" applyFill="1" applyBorder="1" applyAlignment="1">
      <alignment horizontal="center" vertical="center"/>
    </xf>
    <xf numFmtId="1" fontId="22" fillId="0" borderId="5" xfId="6" quotePrefix="1" applyNumberFormat="1" applyFont="1" applyFill="1" applyBorder="1" applyAlignment="1">
      <alignment horizontal="center"/>
    </xf>
    <xf numFmtId="0" fontId="2" fillId="0" borderId="8" xfId="0" applyFont="1" applyFill="1" applyBorder="1" applyAlignment="1">
      <alignment horizontal="right"/>
    </xf>
    <xf numFmtId="1" fontId="1" fillId="0" borderId="9" xfId="6" applyNumberFormat="1" applyFont="1" applyFill="1" applyBorder="1" applyAlignment="1">
      <alignment horizontal="center"/>
    </xf>
    <xf numFmtId="1" fontId="1" fillId="0" borderId="9" xfId="6" quotePrefix="1" applyNumberFormat="1" applyFont="1" applyFill="1" applyBorder="1" applyAlignment="1">
      <alignment horizontal="center"/>
    </xf>
    <xf numFmtId="1" fontId="1" fillId="0" borderId="9" xfId="6" applyNumberFormat="1" applyFont="1" applyFill="1" applyBorder="1" applyAlignment="1">
      <alignment horizontal="center" wrapText="1"/>
    </xf>
    <xf numFmtId="3" fontId="1" fillId="0" borderId="0" xfId="0" quotePrefix="1" applyNumberFormat="1" applyFont="1" applyFill="1" applyBorder="1" applyAlignment="1">
      <alignment horizontal="center"/>
    </xf>
    <xf numFmtId="166" fontId="1" fillId="0" borderId="9" xfId="6" quotePrefix="1" applyNumberFormat="1" applyFont="1" applyFill="1" applyBorder="1" applyAlignment="1">
      <alignment horizontal="center"/>
    </xf>
    <xf numFmtId="3" fontId="1" fillId="0" borderId="0" xfId="0" applyNumberFormat="1" applyFont="1" applyFill="1" applyBorder="1" applyAlignment="1">
      <alignment horizontal="center"/>
    </xf>
    <xf numFmtId="1" fontId="1" fillId="0" borderId="9" xfId="6" quotePrefix="1" applyNumberFormat="1" applyFont="1" applyFill="1" applyBorder="1" applyAlignment="1">
      <alignment horizontal="center" wrapText="1"/>
    </xf>
    <xf numFmtId="4" fontId="1" fillId="0" borderId="0" xfId="6" quotePrefix="1" applyNumberFormat="1" applyFont="1" applyFill="1" applyBorder="1" applyAlignment="1">
      <alignment horizontal="center"/>
    </xf>
    <xf numFmtId="0" fontId="21" fillId="0" borderId="8" xfId="0" applyFont="1" applyFill="1" applyBorder="1" applyAlignment="1">
      <alignment horizontal="right"/>
    </xf>
    <xf numFmtId="1" fontId="22" fillId="0" borderId="9" xfId="6" applyNumberFormat="1" applyFont="1" applyFill="1" applyBorder="1" applyAlignment="1">
      <alignment horizontal="center" wrapText="1"/>
    </xf>
    <xf numFmtId="0" fontId="2" fillId="0" borderId="6" xfId="0" applyFont="1" applyFill="1" applyBorder="1" applyAlignment="1">
      <alignment horizontal="right"/>
    </xf>
    <xf numFmtId="165" fontId="1" fillId="0" borderId="2" xfId="0" applyNumberFormat="1" applyFont="1" applyFill="1" applyBorder="1" applyAlignment="1">
      <alignment horizontal="right"/>
    </xf>
    <xf numFmtId="173" fontId="1" fillId="0" borderId="2" xfId="2" quotePrefix="1" applyNumberFormat="1" applyFont="1" applyFill="1" applyBorder="1" applyAlignment="1">
      <alignment horizontal="right" vertical="center"/>
    </xf>
    <xf numFmtId="0" fontId="1" fillId="0" borderId="2" xfId="0" quotePrefix="1" applyFont="1" applyFill="1" applyBorder="1" applyAlignment="1">
      <alignment horizontal="center"/>
    </xf>
    <xf numFmtId="1" fontId="1" fillId="0" borderId="7" xfId="6" quotePrefix="1" applyNumberFormat="1" applyFont="1" applyFill="1" applyBorder="1" applyAlignment="1">
      <alignment horizontal="center"/>
    </xf>
    <xf numFmtId="170" fontId="1" fillId="0" borderId="11" xfId="0" applyNumberFormat="1" applyFont="1" applyFill="1" applyBorder="1" applyAlignment="1">
      <alignment horizontal="center" vertical="center" wrapText="1"/>
    </xf>
    <xf numFmtId="170" fontId="22" fillId="0" borderId="5" xfId="0" quotePrefix="1" applyNumberFormat="1" applyFont="1" applyFill="1" applyBorder="1" applyAlignment="1">
      <alignment horizontal="center"/>
    </xf>
    <xf numFmtId="0" fontId="1" fillId="0" borderId="8" xfId="0" applyFont="1" applyFill="1" applyBorder="1" applyAlignment="1">
      <alignment horizontal="center"/>
    </xf>
    <xf numFmtId="172" fontId="1" fillId="0" borderId="9" xfId="0" quotePrefix="1" applyNumberFormat="1" applyFont="1" applyFill="1" applyBorder="1" applyAlignment="1">
      <alignment horizontal="right"/>
    </xf>
    <xf numFmtId="172" fontId="1" fillId="0" borderId="9" xfId="0" applyNumberFormat="1" applyFont="1" applyFill="1" applyBorder="1" applyAlignment="1">
      <alignment horizontal="right" wrapText="1"/>
    </xf>
    <xf numFmtId="172" fontId="1" fillId="0" borderId="9" xfId="6" applyNumberFormat="1" applyFont="1" applyFill="1" applyBorder="1" applyAlignment="1">
      <alignment horizontal="right"/>
    </xf>
    <xf numFmtId="172" fontId="1" fillId="0" borderId="9" xfId="0" applyNumberFormat="1" applyFont="1" applyFill="1" applyBorder="1" applyAlignment="1">
      <alignment horizontal="right"/>
    </xf>
    <xf numFmtId="172" fontId="1" fillId="0" borderId="9" xfId="6" quotePrefix="1" applyNumberFormat="1" applyFont="1" applyFill="1" applyBorder="1" applyAlignment="1">
      <alignment horizontal="right"/>
    </xf>
    <xf numFmtId="172" fontId="1" fillId="0" borderId="9" xfId="0" quotePrefix="1" applyNumberFormat="1" applyFont="1" applyFill="1" applyBorder="1" applyAlignment="1">
      <alignment horizontal="right" wrapText="1"/>
    </xf>
    <xf numFmtId="170" fontId="22" fillId="0" borderId="8" xfId="0" quotePrefix="1" applyNumberFormat="1" applyFont="1" applyFill="1" applyBorder="1" applyAlignment="1">
      <alignment horizontal="center" wrapText="1"/>
    </xf>
    <xf numFmtId="172" fontId="22" fillId="0" borderId="9" xfId="0" applyNumberFormat="1" applyFont="1" applyFill="1" applyBorder="1" applyAlignment="1">
      <alignment horizontal="right" wrapText="1"/>
    </xf>
    <xf numFmtId="0" fontId="1" fillId="0" borderId="6" xfId="0" applyFont="1" applyFill="1" applyBorder="1" applyAlignment="1">
      <alignment horizontal="center"/>
    </xf>
    <xf numFmtId="172" fontId="1" fillId="0" borderId="7" xfId="0" quotePrefix="1" applyNumberFormat="1" applyFont="1" applyFill="1" applyBorder="1" applyAlignment="1">
      <alignment horizontal="right"/>
    </xf>
    <xf numFmtId="0" fontId="1" fillId="0" borderId="12" xfId="0" applyFont="1" applyFill="1" applyBorder="1" applyAlignment="1">
      <alignment horizontal="center" vertical="center" wrapText="1"/>
    </xf>
    <xf numFmtId="0" fontId="22" fillId="0" borderId="13" xfId="0" quotePrefix="1" applyFont="1" applyFill="1" applyBorder="1" applyAlignment="1">
      <alignment horizontal="center"/>
    </xf>
    <xf numFmtId="0" fontId="1" fillId="0" borderId="14" xfId="0" applyFont="1" applyFill="1" applyBorder="1" applyAlignment="1">
      <alignment horizontal="center" wrapText="1"/>
    </xf>
    <xf numFmtId="0" fontId="1" fillId="0" borderId="14" xfId="0" applyFont="1" applyFill="1" applyBorder="1" applyAlignment="1">
      <alignment horizontal="center"/>
    </xf>
    <xf numFmtId="0" fontId="22" fillId="0" borderId="14" xfId="0" applyFont="1" applyFill="1" applyBorder="1" applyAlignment="1">
      <alignment horizontal="center" wrapText="1"/>
    </xf>
    <xf numFmtId="0" fontId="1" fillId="0" borderId="15" xfId="0" applyFont="1" applyFill="1" applyBorder="1" applyAlignment="1">
      <alignment horizontal="center"/>
    </xf>
    <xf numFmtId="0" fontId="22" fillId="0" borderId="0" xfId="0" quotePrefix="1" applyFont="1" applyFill="1" applyBorder="1" applyAlignment="1">
      <alignment horizontal="center"/>
    </xf>
    <xf numFmtId="1" fontId="22" fillId="0" borderId="9" xfId="6" quotePrefix="1" applyNumberFormat="1" applyFont="1" applyFill="1" applyBorder="1" applyAlignment="1">
      <alignment horizontal="center"/>
    </xf>
    <xf numFmtId="0" fontId="2" fillId="0" borderId="8" xfId="0" applyFont="1" applyFill="1" applyBorder="1" applyAlignment="1">
      <alignment horizontal="right" vertical="top" wrapText="1"/>
    </xf>
    <xf numFmtId="166" fontId="1" fillId="0" borderId="2" xfId="3" quotePrefix="1" applyNumberFormat="1" applyFont="1" applyFill="1" applyBorder="1" applyAlignment="1">
      <alignment horizontal="right" vertical="center"/>
    </xf>
    <xf numFmtId="0" fontId="21" fillId="0" borderId="8" xfId="0" applyFont="1" applyFill="1" applyBorder="1"/>
    <xf numFmtId="170" fontId="22" fillId="0" borderId="9" xfId="0" quotePrefix="1" applyNumberFormat="1" applyFont="1" applyFill="1" applyBorder="1" applyAlignment="1">
      <alignment horizontal="center"/>
    </xf>
    <xf numFmtId="0" fontId="22" fillId="0" borderId="8" xfId="0" quotePrefix="1" applyFont="1" applyFill="1" applyBorder="1" applyAlignment="1">
      <alignment horizontal="center"/>
    </xf>
    <xf numFmtId="0" fontId="22" fillId="0" borderId="14" xfId="0" quotePrefix="1" applyFont="1" applyFill="1" applyBorder="1" applyAlignment="1">
      <alignment horizontal="center"/>
    </xf>
    <xf numFmtId="173" fontId="0" fillId="0" borderId="0" xfId="2" applyNumberFormat="1" applyFont="1" applyFill="1" applyBorder="1" applyAlignment="1">
      <alignment horizontal="right" vertical="center"/>
    </xf>
    <xf numFmtId="3" fontId="3" fillId="0" borderId="0" xfId="0" applyNumberFormat="1" applyFont="1" applyFill="1" applyBorder="1" applyAlignment="1">
      <alignment horizontal="center"/>
    </xf>
    <xf numFmtId="4" fontId="3" fillId="0" borderId="0" xfId="6" quotePrefix="1" applyNumberFormat="1" applyFont="1" applyFill="1" applyBorder="1" applyAlignment="1">
      <alignment horizontal="center"/>
    </xf>
    <xf numFmtId="0" fontId="3" fillId="0" borderId="0" xfId="0" applyFont="1" applyFill="1" applyBorder="1" applyAlignment="1">
      <alignment horizontal="center" vertical="center"/>
    </xf>
    <xf numFmtId="165" fontId="22" fillId="0" borderId="4" xfId="0" quotePrefix="1" applyNumberFormat="1" applyFont="1" applyFill="1" applyBorder="1" applyAlignment="1">
      <alignment horizontal="right"/>
    </xf>
    <xf numFmtId="166" fontId="22" fillId="0" borderId="4" xfId="6" quotePrefix="1" applyNumberFormat="1" applyFont="1" applyFill="1" applyBorder="1" applyAlignment="1">
      <alignment horizontal="right"/>
    </xf>
    <xf numFmtId="173" fontId="22" fillId="0" borderId="4" xfId="2" quotePrefix="1" applyNumberFormat="1" applyFont="1" applyFill="1" applyBorder="1" applyAlignment="1">
      <alignment horizontal="right" vertical="center"/>
    </xf>
    <xf numFmtId="1" fontId="3" fillId="0" borderId="9" xfId="6" applyNumberFormat="1" applyFont="1" applyFill="1" applyBorder="1" applyAlignment="1">
      <alignment horizontal="center"/>
    </xf>
    <xf numFmtId="1" fontId="3" fillId="0" borderId="9" xfId="6" applyNumberFormat="1" applyFont="1" applyFill="1" applyBorder="1" applyAlignment="1">
      <alignment horizontal="center" wrapText="1"/>
    </xf>
    <xf numFmtId="1" fontId="3" fillId="0" borderId="9" xfId="6" quotePrefix="1" applyNumberFormat="1" applyFont="1" applyFill="1" applyBorder="1" applyAlignment="1">
      <alignment horizontal="center"/>
    </xf>
    <xf numFmtId="1" fontId="3" fillId="0" borderId="9" xfId="6" quotePrefix="1" applyNumberFormat="1" applyFont="1" applyFill="1" applyBorder="1" applyAlignment="1">
      <alignment horizontal="center" wrapText="1"/>
    </xf>
    <xf numFmtId="168" fontId="3" fillId="0" borderId="9" xfId="0" quotePrefix="1" applyNumberFormat="1" applyFont="1" applyFill="1" applyBorder="1" applyAlignment="1">
      <alignment horizontal="center"/>
    </xf>
    <xf numFmtId="1" fontId="3" fillId="0" borderId="9" xfId="6" applyNumberFormat="1" applyFont="1" applyFill="1" applyBorder="1" applyAlignment="1">
      <alignment horizontal="center" vertical="center"/>
    </xf>
    <xf numFmtId="1" fontId="1" fillId="0" borderId="9" xfId="6" quotePrefix="1" applyNumberFormat="1" applyFont="1" applyFill="1" applyBorder="1" applyAlignment="1">
      <alignment horizontal="center" vertical="center"/>
    </xf>
    <xf numFmtId="0" fontId="3" fillId="0" borderId="2" xfId="0" applyFont="1" applyFill="1" applyBorder="1" applyAlignment="1">
      <alignment horizontal="center"/>
    </xf>
    <xf numFmtId="165" fontId="3" fillId="0" borderId="2" xfId="0" applyNumberFormat="1" applyFont="1" applyFill="1" applyBorder="1" applyAlignment="1">
      <alignment horizontal="right"/>
    </xf>
    <xf numFmtId="166" fontId="1" fillId="0" borderId="2" xfId="3" quotePrefix="1" applyNumberFormat="1" applyFont="1" applyFill="1" applyBorder="1" applyAlignment="1">
      <alignment horizontal="right"/>
    </xf>
    <xf numFmtId="0" fontId="1" fillId="0" borderId="2" xfId="0" quotePrefix="1" applyFont="1" applyFill="1" applyBorder="1" applyAlignment="1">
      <alignment horizontal="center" vertical="center"/>
    </xf>
    <xf numFmtId="1" fontId="1" fillId="0" borderId="7" xfId="6" quotePrefix="1" applyNumberFormat="1" applyFont="1" applyFill="1" applyBorder="1" applyAlignment="1">
      <alignment horizontal="center" vertical="center"/>
    </xf>
    <xf numFmtId="0" fontId="1" fillId="0" borderId="12" xfId="0" applyFont="1" applyFill="1" applyBorder="1" applyAlignment="1">
      <alignment horizontal="center" vertical="center"/>
    </xf>
    <xf numFmtId="0" fontId="21" fillId="0" borderId="13" xfId="0" applyFont="1" applyFill="1" applyBorder="1" applyAlignment="1">
      <alignment horizontal="center"/>
    </xf>
    <xf numFmtId="0" fontId="22" fillId="0" borderId="14" xfId="0" applyFont="1" applyFill="1" applyBorder="1" applyAlignment="1">
      <alignment horizontal="center"/>
    </xf>
    <xf numFmtId="170" fontId="1" fillId="0" borderId="12" xfId="0" applyNumberFormat="1" applyFont="1" applyFill="1" applyBorder="1" applyAlignment="1">
      <alignment horizontal="center" vertical="center" wrapText="1"/>
    </xf>
    <xf numFmtId="170" fontId="22" fillId="0" borderId="13" xfId="0" quotePrefix="1" applyNumberFormat="1" applyFont="1" applyFill="1" applyBorder="1" applyAlignment="1">
      <alignment horizontal="right"/>
    </xf>
    <xf numFmtId="172" fontId="3" fillId="0" borderId="14" xfId="0" quotePrefix="1" applyNumberFormat="1" applyFont="1" applyFill="1" applyBorder="1" applyAlignment="1">
      <alignment horizontal="right"/>
    </xf>
    <xf numFmtId="172" fontId="1" fillId="0" borderId="14" xfId="0" quotePrefix="1" applyNumberFormat="1" applyFont="1" applyFill="1" applyBorder="1" applyAlignment="1">
      <alignment horizontal="right"/>
    </xf>
    <xf numFmtId="172" fontId="3" fillId="0" borderId="14" xfId="0" applyNumberFormat="1" applyFont="1" applyFill="1" applyBorder="1" applyAlignment="1">
      <alignment horizontal="right" wrapText="1"/>
    </xf>
    <xf numFmtId="172" fontId="3" fillId="0" borderId="14" xfId="6" applyNumberFormat="1" applyFont="1" applyFill="1" applyBorder="1" applyAlignment="1">
      <alignment horizontal="right"/>
    </xf>
    <xf numFmtId="172" fontId="3" fillId="0" borderId="14" xfId="0" applyNumberFormat="1" applyFont="1" applyFill="1" applyBorder="1" applyAlignment="1">
      <alignment horizontal="right"/>
    </xf>
    <xf numFmtId="172" fontId="3" fillId="0" borderId="14" xfId="6" quotePrefix="1" applyNumberFormat="1" applyFont="1" applyFill="1" applyBorder="1" applyAlignment="1">
      <alignment horizontal="right"/>
    </xf>
    <xf numFmtId="172" fontId="1" fillId="0" borderId="14" xfId="6" quotePrefix="1" applyNumberFormat="1" applyFont="1" applyFill="1" applyBorder="1" applyAlignment="1">
      <alignment horizontal="right"/>
    </xf>
    <xf numFmtId="172" fontId="1" fillId="0" borderId="14" xfId="0" quotePrefix="1" applyNumberFormat="1" applyFont="1" applyFill="1" applyBorder="1" applyAlignment="1">
      <alignment horizontal="right" wrapText="1"/>
    </xf>
    <xf numFmtId="172" fontId="22" fillId="0" borderId="14" xfId="0" applyNumberFormat="1" applyFont="1" applyFill="1" applyBorder="1" applyAlignment="1">
      <alignment horizontal="right" wrapText="1"/>
    </xf>
    <xf numFmtId="172" fontId="1" fillId="0" borderId="15" xfId="0" quotePrefix="1" applyNumberFormat="1" applyFont="1" applyFill="1" applyBorder="1" applyAlignment="1">
      <alignment horizontal="right"/>
    </xf>
    <xf numFmtId="166" fontId="22" fillId="0" borderId="3" xfId="6" quotePrefix="1" applyNumberFormat="1" applyFont="1" applyFill="1" applyBorder="1" applyAlignment="1">
      <alignment horizontal="right"/>
    </xf>
    <xf numFmtId="166" fontId="22" fillId="0" borderId="5" xfId="6" quotePrefix="1" applyNumberFormat="1" applyFont="1" applyFill="1" applyBorder="1" applyAlignment="1">
      <alignment horizontal="right"/>
    </xf>
    <xf numFmtId="166" fontId="3" fillId="0" borderId="8" xfId="6" quotePrefix="1" applyNumberFormat="1" applyFont="1" applyFill="1" applyBorder="1" applyAlignment="1">
      <alignment horizontal="right"/>
    </xf>
    <xf numFmtId="166" fontId="3" fillId="0" borderId="8" xfId="0" applyNumberFormat="1" applyFont="1" applyFill="1" applyBorder="1" applyAlignment="1">
      <alignment horizontal="right"/>
    </xf>
    <xf numFmtId="168" fontId="3" fillId="0" borderId="8" xfId="0" quotePrefix="1" applyNumberFormat="1" applyFont="1" applyFill="1" applyBorder="1" applyAlignment="1">
      <alignment horizontal="right"/>
    </xf>
    <xf numFmtId="168" fontId="3" fillId="0" borderId="9" xfId="0" quotePrefix="1" applyNumberFormat="1" applyFont="1" applyFill="1" applyBorder="1" applyAlignment="1">
      <alignment horizontal="right"/>
    </xf>
    <xf numFmtId="166" fontId="3" fillId="0" borderId="9" xfId="0" applyNumberFormat="1" applyFont="1" applyFill="1" applyBorder="1" applyAlignment="1">
      <alignment horizontal="right"/>
    </xf>
    <xf numFmtId="168" fontId="3" fillId="0" borderId="8" xfId="0" applyNumberFormat="1" applyFont="1" applyFill="1" applyBorder="1" applyAlignment="1">
      <alignment horizontal="right" wrapText="1"/>
    </xf>
    <xf numFmtId="168" fontId="3" fillId="0" borderId="9" xfId="0" applyNumberFormat="1" applyFont="1" applyFill="1" applyBorder="1" applyAlignment="1">
      <alignment horizontal="right" wrapText="1"/>
    </xf>
    <xf numFmtId="168" fontId="3" fillId="0" borderId="6" xfId="0" applyNumberFormat="1" applyFont="1" applyFill="1" applyBorder="1" applyAlignment="1">
      <alignment horizontal="right" wrapText="1"/>
    </xf>
    <xf numFmtId="0" fontId="13" fillId="0" borderId="8" xfId="0" applyFont="1" applyFill="1" applyBorder="1" applyAlignment="1">
      <alignment horizontal="right"/>
    </xf>
    <xf numFmtId="166" fontId="3" fillId="0" borderId="9" xfId="6" quotePrefix="1" applyNumberFormat="1" applyFont="1" applyFill="1" applyBorder="1" applyAlignment="1">
      <alignment horizontal="center"/>
    </xf>
    <xf numFmtId="167" fontId="1" fillId="0" borderId="2" xfId="3" quotePrefix="1" applyNumberFormat="1" applyFont="1" applyFill="1" applyBorder="1" applyAlignment="1">
      <alignment horizontal="right" vertical="center"/>
    </xf>
    <xf numFmtId="0" fontId="21" fillId="0" borderId="3" xfId="0" applyFont="1" applyFill="1" applyBorder="1" applyAlignment="1">
      <alignment horizontal="center"/>
    </xf>
    <xf numFmtId="172" fontId="3" fillId="0" borderId="9" xfId="0" quotePrefix="1" applyNumberFormat="1" applyFont="1" applyFill="1" applyBorder="1" applyAlignment="1">
      <alignment horizontal="right"/>
    </xf>
    <xf numFmtId="172" fontId="3" fillId="0" borderId="9" xfId="0" applyNumberFormat="1" applyFont="1" applyFill="1" applyBorder="1" applyAlignment="1">
      <alignment horizontal="right" wrapText="1"/>
    </xf>
    <xf numFmtId="172" fontId="3" fillId="0" borderId="9" xfId="6" applyNumberFormat="1" applyFont="1" applyFill="1" applyBorder="1" applyAlignment="1">
      <alignment horizontal="right"/>
    </xf>
    <xf numFmtId="172" fontId="3" fillId="0" borderId="9" xfId="0" applyNumberFormat="1" applyFont="1" applyFill="1" applyBorder="1" applyAlignment="1">
      <alignment horizontal="right"/>
    </xf>
    <xf numFmtId="172" fontId="3" fillId="0" borderId="9" xfId="6" quotePrefix="1" applyNumberFormat="1" applyFont="1" applyFill="1" applyBorder="1" applyAlignment="1">
      <alignment horizontal="right"/>
    </xf>
    <xf numFmtId="170" fontId="1" fillId="0" borderId="7" xfId="0" quotePrefix="1" applyNumberFormat="1" applyFont="1" applyFill="1" applyBorder="1" applyAlignment="1">
      <alignment horizontal="right"/>
    </xf>
    <xf numFmtId="0" fontId="3" fillId="0" borderId="14" xfId="0" applyFont="1" applyFill="1" applyBorder="1" applyAlignment="1">
      <alignment horizontal="center" wrapText="1"/>
    </xf>
    <xf numFmtId="0" fontId="3" fillId="0" borderId="14" xfId="0" applyFont="1" applyFill="1" applyBorder="1" applyAlignment="1">
      <alignment horizontal="center"/>
    </xf>
    <xf numFmtId="0" fontId="3" fillId="0" borderId="15" xfId="0" applyFont="1" applyFill="1" applyBorder="1" applyAlignment="1">
      <alignment horizontal="center"/>
    </xf>
    <xf numFmtId="4" fontId="3" fillId="0" borderId="0" xfId="4" quotePrefix="1" applyNumberFormat="1" applyFont="1" applyFill="1" applyBorder="1" applyAlignment="1">
      <alignment horizontal="center"/>
    </xf>
    <xf numFmtId="166" fontId="1" fillId="0" borderId="0" xfId="2" quotePrefix="1" applyNumberFormat="1" applyFont="1" applyFill="1" applyBorder="1" applyAlignment="1">
      <alignment horizontal="right"/>
    </xf>
    <xf numFmtId="166" fontId="22" fillId="0" borderId="4" xfId="4" quotePrefix="1" applyNumberFormat="1" applyFont="1" applyFill="1" applyBorder="1" applyAlignment="1">
      <alignment horizontal="center"/>
    </xf>
    <xf numFmtId="1" fontId="22" fillId="0" borderId="5" xfId="4" quotePrefix="1" applyNumberFormat="1" applyFont="1" applyFill="1" applyBorder="1" applyAlignment="1">
      <alignment horizontal="center"/>
    </xf>
    <xf numFmtId="0" fontId="2" fillId="0" borderId="8" xfId="0" applyFont="1" applyFill="1" applyBorder="1" applyAlignment="1">
      <alignment horizontal="right" wrapText="1"/>
    </xf>
    <xf numFmtId="1" fontId="3" fillId="0" borderId="9" xfId="4" applyNumberFormat="1" applyFont="1" applyFill="1" applyBorder="1" applyAlignment="1">
      <alignment horizontal="center"/>
    </xf>
    <xf numFmtId="1" fontId="1" fillId="0" borderId="9" xfId="4" quotePrefix="1" applyNumberFormat="1" applyFont="1" applyFill="1" applyBorder="1" applyAlignment="1">
      <alignment horizontal="center"/>
    </xf>
    <xf numFmtId="1" fontId="3" fillId="0" borderId="9" xfId="4" applyNumberFormat="1" applyFont="1" applyFill="1" applyBorder="1" applyAlignment="1">
      <alignment horizontal="center" wrapText="1"/>
    </xf>
    <xf numFmtId="1" fontId="3" fillId="0" borderId="9" xfId="4" quotePrefix="1" applyNumberFormat="1" applyFont="1" applyFill="1" applyBorder="1" applyAlignment="1">
      <alignment horizontal="center"/>
    </xf>
    <xf numFmtId="1" fontId="3" fillId="0" borderId="9" xfId="4" quotePrefix="1" applyNumberFormat="1" applyFont="1" applyFill="1" applyBorder="1" applyAlignment="1">
      <alignment horizontal="center" wrapText="1"/>
    </xf>
    <xf numFmtId="1" fontId="22" fillId="0" borderId="9" xfId="4" applyNumberFormat="1" applyFont="1" applyFill="1" applyBorder="1" applyAlignment="1">
      <alignment horizontal="center" wrapText="1"/>
    </xf>
    <xf numFmtId="1" fontId="3" fillId="0" borderId="9" xfId="4" applyNumberFormat="1" applyFont="1" applyFill="1" applyBorder="1" applyAlignment="1">
      <alignment horizontal="center" vertical="center"/>
    </xf>
    <xf numFmtId="1" fontId="1" fillId="0" borderId="9" xfId="4" quotePrefix="1" applyNumberFormat="1" applyFont="1" applyFill="1" applyBorder="1" applyAlignment="1">
      <alignment horizontal="center" vertical="center"/>
    </xf>
    <xf numFmtId="167" fontId="1" fillId="0" borderId="2" xfId="2" quotePrefix="1" applyNumberFormat="1" applyFont="1" applyFill="1" applyBorder="1" applyAlignment="1">
      <alignment horizontal="right"/>
    </xf>
    <xf numFmtId="1" fontId="1" fillId="0" borderId="7" xfId="4" quotePrefix="1" applyNumberFormat="1" applyFont="1" applyFill="1" applyBorder="1" applyAlignment="1">
      <alignment horizontal="center" vertical="center"/>
    </xf>
    <xf numFmtId="0" fontId="1" fillId="0" borderId="8" xfId="0" applyFont="1" applyFill="1" applyBorder="1" applyAlignment="1">
      <alignment horizontal="center" wrapText="1"/>
    </xf>
    <xf numFmtId="172" fontId="3" fillId="0" borderId="9" xfId="4" applyNumberFormat="1" applyFont="1" applyFill="1" applyBorder="1" applyAlignment="1">
      <alignment horizontal="right"/>
    </xf>
    <xf numFmtId="172" fontId="3" fillId="0" borderId="9" xfId="4" quotePrefix="1" applyNumberFormat="1" applyFont="1" applyFill="1" applyBorder="1" applyAlignment="1">
      <alignment horizontal="right"/>
    </xf>
    <xf numFmtId="0" fontId="22" fillId="0" borderId="8" xfId="0" applyFont="1" applyFill="1" applyBorder="1" applyAlignment="1">
      <alignment horizontal="center" wrapText="1"/>
    </xf>
    <xf numFmtId="3" fontId="1" fillId="0" borderId="9" xfId="0" quotePrefix="1" applyNumberFormat="1" applyFont="1" applyFill="1" applyBorder="1" applyAlignment="1">
      <alignment horizontal="right"/>
    </xf>
    <xf numFmtId="0" fontId="1" fillId="0" borderId="6" xfId="0" applyFont="1" applyFill="1" applyBorder="1" applyAlignment="1">
      <alignment horizontal="center" wrapText="1"/>
    </xf>
    <xf numFmtId="0" fontId="1" fillId="0" borderId="7" xfId="0" quotePrefix="1" applyFont="1" applyFill="1" applyBorder="1" applyAlignment="1">
      <alignment horizontal="right"/>
    </xf>
    <xf numFmtId="166" fontId="22" fillId="0" borderId="3" xfId="4" quotePrefix="1" applyNumberFormat="1" applyFont="1" applyFill="1" applyBorder="1" applyAlignment="1">
      <alignment horizontal="center"/>
    </xf>
    <xf numFmtId="166" fontId="22" fillId="0" borderId="5" xfId="4" quotePrefix="1" applyNumberFormat="1" applyFont="1" applyFill="1" applyBorder="1" applyAlignment="1">
      <alignment horizontal="center"/>
    </xf>
    <xf numFmtId="166" fontId="3" fillId="0" borderId="8" xfId="4" quotePrefix="1" applyNumberFormat="1" applyFont="1" applyFill="1" applyBorder="1" applyAlignment="1">
      <alignment horizontal="right"/>
    </xf>
    <xf numFmtId="166" fontId="3" fillId="0" borderId="9" xfId="4" quotePrefix="1" applyNumberFormat="1" applyFont="1" applyFill="1" applyBorder="1" applyAlignment="1">
      <alignment horizontal="right"/>
    </xf>
    <xf numFmtId="166" fontId="1" fillId="0" borderId="9" xfId="4" quotePrefix="1" applyNumberFormat="1" applyFont="1" applyFill="1" applyBorder="1" applyAlignment="1">
      <alignment horizontal="right"/>
    </xf>
    <xf numFmtId="166" fontId="1" fillId="0" borderId="8" xfId="4" quotePrefix="1" applyNumberFormat="1" applyFont="1" applyFill="1" applyBorder="1" applyAlignment="1">
      <alignment horizontal="right"/>
    </xf>
    <xf numFmtId="2" fontId="22" fillId="0" borderId="0" xfId="0" quotePrefix="1" applyNumberFormat="1" applyFont="1" applyFill="1" applyBorder="1" applyAlignment="1">
      <alignment horizontal="center"/>
    </xf>
    <xf numFmtId="4" fontId="22" fillId="0" borderId="0" xfId="4" quotePrefix="1" applyNumberFormat="1" applyFont="1" applyFill="1" applyBorder="1" applyAlignment="1">
      <alignment horizontal="center"/>
    </xf>
    <xf numFmtId="168" fontId="22" fillId="0" borderId="0" xfId="4" quotePrefix="1" applyNumberFormat="1" applyFont="1" applyFill="1" applyBorder="1" applyAlignment="1">
      <alignment horizontal="center"/>
    </xf>
    <xf numFmtId="165" fontId="22" fillId="0" borderId="0" xfId="0" applyNumberFormat="1" applyFont="1" applyFill="1" applyBorder="1" applyAlignment="1">
      <alignment horizontal="right"/>
    </xf>
    <xf numFmtId="173" fontId="22" fillId="0" borderId="0" xfId="2" quotePrefix="1" applyNumberFormat="1" applyFont="1" applyFill="1" applyBorder="1" applyAlignment="1">
      <alignment horizontal="right"/>
    </xf>
    <xf numFmtId="166" fontId="3" fillId="0" borderId="0" xfId="2" quotePrefix="1" applyNumberFormat="1" applyFont="1" applyFill="1" applyBorder="1" applyAlignment="1">
      <alignment horizontal="right"/>
    </xf>
    <xf numFmtId="167" fontId="3" fillId="0" borderId="0" xfId="2" quotePrefix="1" applyNumberFormat="1" applyFont="1" applyFill="1" applyBorder="1" applyAlignment="1">
      <alignment horizontal="right"/>
    </xf>
    <xf numFmtId="1" fontId="22" fillId="0" borderId="9" xfId="0" quotePrefix="1" applyNumberFormat="1" applyFont="1" applyFill="1" applyBorder="1" applyAlignment="1">
      <alignment horizontal="center"/>
    </xf>
    <xf numFmtId="1" fontId="3" fillId="0" borderId="9" xfId="0" applyNumberFormat="1" applyFont="1" applyFill="1" applyBorder="1" applyAlignment="1">
      <alignment horizontal="center"/>
    </xf>
    <xf numFmtId="1" fontId="1" fillId="0" borderId="9" xfId="0" quotePrefix="1" applyNumberFormat="1" applyFont="1" applyFill="1" applyBorder="1" applyAlignment="1">
      <alignment horizontal="center"/>
    </xf>
    <xf numFmtId="1" fontId="3" fillId="0" borderId="9" xfId="0" applyNumberFormat="1" applyFont="1" applyFill="1" applyBorder="1" applyAlignment="1">
      <alignment horizontal="center" wrapText="1"/>
    </xf>
    <xf numFmtId="1" fontId="3" fillId="0" borderId="9" xfId="0" quotePrefix="1" applyNumberFormat="1" applyFont="1" applyFill="1" applyBorder="1" applyAlignment="1">
      <alignment horizontal="center"/>
    </xf>
    <xf numFmtId="1" fontId="1" fillId="0" borderId="9" xfId="0" applyNumberFormat="1" applyFont="1" applyFill="1" applyBorder="1" applyAlignment="1">
      <alignment horizontal="center"/>
    </xf>
    <xf numFmtId="1" fontId="3" fillId="0" borderId="9" xfId="0" quotePrefix="1" applyNumberFormat="1" applyFont="1" applyFill="1" applyBorder="1" applyAlignment="1">
      <alignment horizontal="center" wrapText="1"/>
    </xf>
    <xf numFmtId="1" fontId="22" fillId="0" borderId="9" xfId="0" applyNumberFormat="1" applyFont="1" applyFill="1" applyBorder="1" applyAlignment="1">
      <alignment horizontal="center" wrapText="1"/>
    </xf>
    <xf numFmtId="1" fontId="3" fillId="0" borderId="9" xfId="0" applyNumberFormat="1" applyFont="1" applyFill="1" applyBorder="1" applyAlignment="1">
      <alignment horizontal="center" vertical="center"/>
    </xf>
    <xf numFmtId="1" fontId="1" fillId="0" borderId="9" xfId="0" quotePrefix="1" applyNumberFormat="1" applyFont="1" applyFill="1" applyBorder="1" applyAlignment="1">
      <alignment horizontal="center" vertical="center"/>
    </xf>
    <xf numFmtId="1" fontId="1" fillId="0" borderId="7" xfId="0" quotePrefix="1" applyNumberFormat="1" applyFont="1" applyFill="1" applyBorder="1" applyAlignment="1">
      <alignment horizontal="center"/>
    </xf>
    <xf numFmtId="0" fontId="21" fillId="0" borderId="14" xfId="0" applyFont="1" applyFill="1" applyBorder="1" applyAlignment="1">
      <alignment horizontal="center"/>
    </xf>
    <xf numFmtId="0" fontId="22" fillId="0" borderId="14" xfId="0" quotePrefix="1" applyFont="1" applyFill="1" applyBorder="1" applyAlignment="1">
      <alignment horizontal="center" wrapText="1"/>
    </xf>
    <xf numFmtId="0" fontId="1" fillId="0" borderId="15" xfId="0" applyFont="1" applyFill="1" applyBorder="1" applyAlignment="1">
      <alignment horizontal="center" wrapText="1"/>
    </xf>
    <xf numFmtId="170" fontId="22" fillId="0" borderId="14" xfId="0" quotePrefix="1" applyNumberFormat="1" applyFont="1" applyFill="1" applyBorder="1" applyAlignment="1">
      <alignment horizontal="center"/>
    </xf>
    <xf numFmtId="172" fontId="3" fillId="0" borderId="14" xfId="4" applyNumberFormat="1" applyFont="1" applyFill="1" applyBorder="1" applyAlignment="1">
      <alignment horizontal="right"/>
    </xf>
    <xf numFmtId="172" fontId="3" fillId="0" borderId="14" xfId="4" quotePrefix="1" applyNumberFormat="1" applyFont="1" applyFill="1" applyBorder="1" applyAlignment="1">
      <alignment horizontal="right"/>
    </xf>
    <xf numFmtId="168" fontId="3" fillId="0" borderId="14" xfId="0" quotePrefix="1" applyNumberFormat="1" applyFont="1" applyFill="1" applyBorder="1" applyAlignment="1">
      <alignment horizontal="right"/>
    </xf>
    <xf numFmtId="168" fontId="1" fillId="0" borderId="14" xfId="0" quotePrefix="1" applyNumberFormat="1" applyFont="1" applyFill="1" applyBorder="1" applyAlignment="1">
      <alignment horizontal="right"/>
    </xf>
    <xf numFmtId="168" fontId="1" fillId="0" borderId="15" xfId="0" quotePrefix="1" applyNumberFormat="1" applyFont="1" applyFill="1" applyBorder="1" applyAlignment="1">
      <alignment horizontal="right"/>
    </xf>
    <xf numFmtId="4" fontId="22" fillId="0" borderId="8" xfId="4" quotePrefix="1" applyNumberFormat="1" applyFont="1" applyFill="1" applyBorder="1" applyAlignment="1">
      <alignment horizontal="center"/>
    </xf>
    <xf numFmtId="168" fontId="22" fillId="0" borderId="9" xfId="4" quotePrefix="1" applyNumberFormat="1" applyFont="1" applyFill="1" applyBorder="1" applyAlignment="1">
      <alignment horizontal="center"/>
    </xf>
    <xf numFmtId="168" fontId="3" fillId="0" borderId="8" xfId="4" quotePrefix="1" applyNumberFormat="1" applyFont="1" applyFill="1" applyBorder="1" applyAlignment="1">
      <alignment horizontal="right"/>
    </xf>
    <xf numFmtId="168" fontId="3" fillId="0" borderId="9" xfId="4" quotePrefix="1" applyNumberFormat="1" applyFont="1" applyFill="1" applyBorder="1" applyAlignment="1">
      <alignment horizontal="right"/>
    </xf>
    <xf numFmtId="168" fontId="3" fillId="0" borderId="8" xfId="0" quotePrefix="1" applyNumberFormat="1" applyFont="1" applyFill="1" applyBorder="1" applyAlignment="1">
      <alignment horizontal="right" wrapText="1"/>
    </xf>
    <xf numFmtId="168" fontId="1" fillId="0" borderId="8" xfId="0" quotePrefix="1" applyNumberFormat="1" applyFont="1" applyFill="1" applyBorder="1" applyAlignment="1">
      <alignment horizontal="right" wrapText="1"/>
    </xf>
    <xf numFmtId="168" fontId="1" fillId="0" borderId="9" xfId="4" quotePrefix="1" applyNumberFormat="1" applyFont="1" applyFill="1" applyBorder="1" applyAlignment="1">
      <alignment horizontal="right"/>
    </xf>
    <xf numFmtId="168" fontId="1" fillId="0" borderId="8" xfId="4" applyNumberFormat="1" applyFont="1" applyFill="1" applyBorder="1" applyAlignment="1">
      <alignment horizontal="right"/>
    </xf>
    <xf numFmtId="168" fontId="22" fillId="0" borderId="8" xfId="0" applyNumberFormat="1" applyFont="1" applyFill="1" applyBorder="1" applyAlignment="1">
      <alignment horizontal="right" wrapText="1"/>
    </xf>
    <xf numFmtId="168" fontId="22" fillId="0" borderId="9" xfId="0" applyNumberFormat="1" applyFont="1" applyFill="1" applyBorder="1" applyAlignment="1">
      <alignment horizontal="right" wrapText="1"/>
    </xf>
    <xf numFmtId="168" fontId="1" fillId="0" borderId="8" xfId="4" quotePrefix="1" applyNumberFormat="1" applyFont="1" applyFill="1" applyBorder="1" applyAlignment="1">
      <alignment horizontal="right"/>
    </xf>
    <xf numFmtId="168" fontId="22" fillId="0" borderId="8" xfId="4" quotePrefix="1" applyNumberFormat="1" applyFont="1" applyFill="1" applyBorder="1" applyAlignment="1">
      <alignment horizontal="center"/>
    </xf>
    <xf numFmtId="168" fontId="3" fillId="0" borderId="8" xfId="1" applyNumberFormat="1" applyFont="1" applyFill="1" applyBorder="1" applyAlignment="1">
      <alignment horizontal="right"/>
    </xf>
    <xf numFmtId="166" fontId="1" fillId="0" borderId="2" xfId="0" quotePrefix="1" applyNumberFormat="1" applyFont="1" applyFill="1" applyBorder="1" applyAlignment="1">
      <alignment horizontal="right"/>
    </xf>
    <xf numFmtId="4" fontId="22" fillId="0" borderId="9" xfId="4" quotePrefix="1" applyNumberFormat="1" applyFont="1" applyFill="1" applyBorder="1" applyAlignment="1">
      <alignment horizontal="center"/>
    </xf>
    <xf numFmtId="0" fontId="1" fillId="0" borderId="14" xfId="0" applyFont="1" applyFill="1" applyBorder="1" applyAlignment="1">
      <alignment horizontal="center" vertical="top" wrapText="1"/>
    </xf>
    <xf numFmtId="171" fontId="3" fillId="0" borderId="9" xfId="0" applyNumberFormat="1" applyFont="1" applyFill="1" applyBorder="1" applyAlignment="1">
      <alignment horizontal="center"/>
    </xf>
    <xf numFmtId="0" fontId="0" fillId="0" borderId="0" xfId="0" applyFill="1" applyBorder="1" applyAlignment="1">
      <alignment horizontal="center"/>
    </xf>
    <xf numFmtId="173" fontId="0" fillId="0" borderId="0" xfId="2" applyNumberFormat="1" applyFont="1" applyFill="1" applyBorder="1" applyAlignment="1">
      <alignment horizontal="right"/>
    </xf>
    <xf numFmtId="165" fontId="25" fillId="0" borderId="0" xfId="0" applyNumberFormat="1" applyFont="1" applyFill="1" applyBorder="1" applyAlignment="1">
      <alignment horizontal="right"/>
    </xf>
    <xf numFmtId="3" fontId="1" fillId="0" borderId="0" xfId="0" quotePrefix="1" applyNumberFormat="1" applyFont="1" applyFill="1" applyBorder="1" applyAlignment="1">
      <alignment horizontal="right"/>
    </xf>
    <xf numFmtId="0" fontId="24" fillId="0" borderId="8" xfId="0" applyFont="1" applyFill="1" applyBorder="1" applyAlignment="1">
      <alignment horizontal="right"/>
    </xf>
    <xf numFmtId="0" fontId="25" fillId="0" borderId="14" xfId="0" applyFont="1" applyFill="1" applyBorder="1" applyAlignment="1">
      <alignment horizontal="center"/>
    </xf>
    <xf numFmtId="172" fontId="0" fillId="0" borderId="14" xfId="0" applyNumberFormat="1" applyFill="1" applyBorder="1" applyAlignment="1">
      <alignment horizontal="right"/>
    </xf>
    <xf numFmtId="172" fontId="25" fillId="0" borderId="14" xfId="0" applyNumberFormat="1" applyFont="1" applyFill="1" applyBorder="1" applyAlignment="1">
      <alignment horizontal="right" wrapText="1"/>
    </xf>
    <xf numFmtId="168" fontId="25" fillId="0" borderId="8" xfId="0" applyNumberFormat="1" applyFont="1" applyFill="1" applyBorder="1" applyAlignment="1">
      <alignment horizontal="right" wrapText="1"/>
    </xf>
    <xf numFmtId="168" fontId="25" fillId="0" borderId="9" xfId="0" applyNumberFormat="1" applyFont="1" applyFill="1" applyBorder="1" applyAlignment="1">
      <alignment horizontal="right" wrapText="1"/>
    </xf>
    <xf numFmtId="3" fontId="3" fillId="0" borderId="0" xfId="4" applyNumberFormat="1" applyFont="1" applyFill="1" applyBorder="1" applyAlignment="1">
      <alignment horizontal="center"/>
    </xf>
    <xf numFmtId="1" fontId="0" fillId="0" borderId="9" xfId="0" applyNumberFormat="1" applyFill="1" applyBorder="1" applyAlignment="1">
      <alignment horizontal="center"/>
    </xf>
    <xf numFmtId="164" fontId="22" fillId="0" borderId="0" xfId="0" quotePrefix="1" applyNumberFormat="1" applyFont="1" applyFill="1" applyBorder="1" applyAlignment="1">
      <alignment horizontal="center"/>
    </xf>
    <xf numFmtId="164" fontId="3"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3" fontId="22" fillId="0" borderId="0" xfId="4" applyNumberFormat="1" applyFont="1" applyFill="1" applyBorder="1" applyAlignment="1">
      <alignment horizontal="center"/>
    </xf>
    <xf numFmtId="164" fontId="22" fillId="0" borderId="0" xfId="0" applyNumberFormat="1" applyFont="1" applyFill="1" applyBorder="1" applyAlignment="1">
      <alignment horizontal="right"/>
    </xf>
    <xf numFmtId="0" fontId="6" fillId="0" borderId="0" xfId="0" applyFont="1" applyFill="1" applyBorder="1" applyAlignment="1">
      <alignment horizontal="center"/>
    </xf>
    <xf numFmtId="166" fontId="6" fillId="0" borderId="0" xfId="0" applyNumberFormat="1" applyFont="1" applyFill="1" applyBorder="1" applyAlignment="1">
      <alignment horizontal="right"/>
    </xf>
    <xf numFmtId="3" fontId="6" fillId="0" borderId="0" xfId="0" quotePrefix="1" applyNumberFormat="1" applyFont="1" applyFill="1" applyBorder="1" applyAlignment="1">
      <alignment horizontal="center"/>
    </xf>
    <xf numFmtId="1" fontId="22" fillId="0" borderId="9" xfId="4" applyNumberFormat="1" applyFont="1" applyFill="1" applyBorder="1" applyAlignment="1">
      <alignment horizontal="center"/>
    </xf>
    <xf numFmtId="0" fontId="7" fillId="0" borderId="8" xfId="0" applyFont="1" applyFill="1" applyBorder="1" applyAlignment="1">
      <alignment horizontal="right"/>
    </xf>
    <xf numFmtId="1" fontId="6" fillId="0" borderId="9" xfId="0" quotePrefix="1" applyNumberFormat="1" applyFont="1" applyFill="1" applyBorder="1" applyAlignment="1">
      <alignment horizontal="center"/>
    </xf>
    <xf numFmtId="164" fontId="3" fillId="0" borderId="2" xfId="0" applyNumberFormat="1" applyFont="1" applyFill="1" applyBorder="1" applyAlignment="1">
      <alignment horizontal="right"/>
    </xf>
    <xf numFmtId="0" fontId="6" fillId="0" borderId="14" xfId="0" applyFont="1" applyFill="1" applyBorder="1" applyAlignment="1">
      <alignment horizontal="center"/>
    </xf>
    <xf numFmtId="172" fontId="22" fillId="0" borderId="14" xfId="4" applyNumberFormat="1" applyFont="1" applyFill="1" applyBorder="1" applyAlignment="1">
      <alignment horizontal="right"/>
    </xf>
    <xf numFmtId="172" fontId="6" fillId="0" borderId="14" xfId="0" quotePrefix="1" applyNumberFormat="1" applyFont="1" applyFill="1" applyBorder="1" applyAlignment="1">
      <alignment horizontal="right"/>
    </xf>
    <xf numFmtId="168" fontId="22" fillId="0" borderId="8" xfId="4" applyNumberFormat="1" applyFont="1" applyFill="1" applyBorder="1" applyAlignment="1">
      <alignment horizontal="right"/>
    </xf>
    <xf numFmtId="168" fontId="22" fillId="0" borderId="9" xfId="4" applyNumberFormat="1" applyFont="1" applyFill="1" applyBorder="1" applyAlignment="1">
      <alignment horizontal="right"/>
    </xf>
    <xf numFmtId="3" fontId="3" fillId="0" borderId="8" xfId="4" applyNumberFormat="1" applyFont="1" applyFill="1" applyBorder="1" applyAlignment="1">
      <alignment horizontal="right"/>
    </xf>
    <xf numFmtId="3" fontId="3" fillId="0" borderId="9" xfId="4" quotePrefix="1" applyNumberFormat="1" applyFont="1" applyFill="1" applyBorder="1" applyAlignment="1">
      <alignment horizontal="right"/>
    </xf>
    <xf numFmtId="0" fontId="6" fillId="0" borderId="8" xfId="0" applyFont="1" applyFill="1" applyBorder="1" applyAlignment="1">
      <alignment horizontal="right"/>
    </xf>
    <xf numFmtId="0" fontId="6" fillId="0" borderId="9" xfId="0" applyFont="1" applyFill="1" applyBorder="1" applyAlignment="1">
      <alignment horizontal="right"/>
    </xf>
    <xf numFmtId="3" fontId="3" fillId="0" borderId="6" xfId="4" applyNumberFormat="1" applyFont="1" applyFill="1" applyBorder="1" applyAlignment="1">
      <alignment horizontal="right"/>
    </xf>
    <xf numFmtId="3" fontId="3" fillId="0" borderId="7" xfId="4" applyNumberFormat="1" applyFont="1" applyFill="1" applyBorder="1" applyAlignment="1">
      <alignment horizontal="right"/>
    </xf>
    <xf numFmtId="3" fontId="1" fillId="0" borderId="7" xfId="4" quotePrefix="1" applyNumberFormat="1" applyFont="1" applyFill="1" applyBorder="1" applyAlignment="1">
      <alignment horizontal="right"/>
    </xf>
    <xf numFmtId="3" fontId="3" fillId="0" borderId="0" xfId="4" quotePrefix="1" applyNumberFormat="1" applyFont="1" applyFill="1" applyBorder="1" applyAlignment="1">
      <alignment horizontal="center"/>
    </xf>
    <xf numFmtId="1" fontId="1" fillId="0" borderId="9" xfId="0" applyNumberFormat="1" applyFont="1" applyFill="1" applyBorder="1"/>
    <xf numFmtId="173" fontId="1" fillId="0" borderId="2" xfId="2" quotePrefix="1" applyNumberFormat="1" applyFont="1" applyFill="1" applyBorder="1" applyAlignment="1">
      <alignment horizontal="right"/>
    </xf>
    <xf numFmtId="172" fontId="22" fillId="0" borderId="14" xfId="0" quotePrefix="1" applyNumberFormat="1" applyFont="1" applyFill="1" applyBorder="1" applyAlignment="1">
      <alignment horizontal="right"/>
    </xf>
    <xf numFmtId="2" fontId="3" fillId="0" borderId="8" xfId="2" applyNumberFormat="1" applyFont="1" applyFill="1" applyBorder="1" applyAlignment="1">
      <alignment horizontal="right"/>
    </xf>
    <xf numFmtId="168" fontId="22" fillId="0" borderId="8" xfId="4" quotePrefix="1" applyNumberFormat="1" applyFont="1" applyFill="1" applyBorder="1" applyAlignment="1">
      <alignment horizontal="right"/>
    </xf>
    <xf numFmtId="168" fontId="22" fillId="0" borderId="9" xfId="4" quotePrefix="1" applyNumberFormat="1" applyFont="1" applyFill="1" applyBorder="1" applyAlignment="1">
      <alignment horizontal="right"/>
    </xf>
    <xf numFmtId="0" fontId="2" fillId="0" borderId="8" xfId="0" applyFont="1" applyFill="1" applyBorder="1" applyAlignment="1">
      <alignment horizontal="right" vertical="top"/>
    </xf>
    <xf numFmtId="1" fontId="1" fillId="0" borderId="9" xfId="0" applyNumberFormat="1" applyFont="1" applyFill="1" applyBorder="1" applyAlignment="1">
      <alignment wrapText="1"/>
    </xf>
    <xf numFmtId="1" fontId="2" fillId="0" borderId="9" xfId="0" applyNumberFormat="1" applyFont="1" applyFill="1" applyBorder="1" applyAlignment="1">
      <alignment horizontal="center" wrapText="1"/>
    </xf>
    <xf numFmtId="0" fontId="21" fillId="0" borderId="8" xfId="0" applyFont="1" applyFill="1" applyBorder="1" applyAlignment="1">
      <alignment horizontal="right" vertical="top"/>
    </xf>
    <xf numFmtId="1" fontId="1" fillId="0" borderId="9" xfId="0" applyNumberFormat="1" applyFont="1" applyFill="1" applyBorder="1" applyAlignment="1">
      <alignment horizontal="center" wrapText="1"/>
    </xf>
    <xf numFmtId="0" fontId="7" fillId="0" borderId="8" xfId="0" applyFont="1" applyFill="1" applyBorder="1" applyAlignment="1">
      <alignment horizontal="right" vertical="top"/>
    </xf>
    <xf numFmtId="0" fontId="2" fillId="0" borderId="6" xfId="0" applyFont="1" applyFill="1" applyBorder="1" applyAlignment="1">
      <alignment horizontal="right" vertical="top" wrapText="1"/>
    </xf>
    <xf numFmtId="0" fontId="3" fillId="0" borderId="2" xfId="0" applyFont="1" applyFill="1" applyBorder="1" applyAlignment="1">
      <alignment horizontal="center" wrapText="1"/>
    </xf>
    <xf numFmtId="173" fontId="3" fillId="0" borderId="2" xfId="2" applyNumberFormat="1" applyFont="1" applyFill="1" applyBorder="1" applyAlignment="1">
      <alignment horizontal="right" wrapText="1"/>
    </xf>
    <xf numFmtId="1" fontId="3" fillId="0" borderId="7" xfId="0" applyNumberFormat="1" applyFont="1" applyFill="1" applyBorder="1" applyAlignment="1">
      <alignment horizontal="center" wrapText="1"/>
    </xf>
    <xf numFmtId="0" fontId="1" fillId="0" borderId="14" xfId="0" applyFont="1" applyFill="1" applyBorder="1" applyAlignment="1">
      <alignment horizontal="center" vertical="top"/>
    </xf>
    <xf numFmtId="0" fontId="6" fillId="0" borderId="14" xfId="0" applyFont="1" applyFill="1" applyBorder="1" applyAlignment="1">
      <alignment horizontal="center" vertical="top"/>
    </xf>
    <xf numFmtId="0" fontId="1" fillId="0" borderId="15" xfId="0" applyFont="1" applyFill="1" applyBorder="1" applyAlignment="1">
      <alignment horizontal="center" vertical="top" wrapText="1"/>
    </xf>
    <xf numFmtId="170" fontId="22" fillId="0" borderId="14" xfId="0" applyNumberFormat="1" applyFont="1" applyFill="1" applyBorder="1" applyAlignment="1">
      <alignment horizontal="center"/>
    </xf>
    <xf numFmtId="172" fontId="2" fillId="0" borderId="14" xfId="0" applyNumberFormat="1" applyFont="1" applyFill="1" applyBorder="1" applyAlignment="1">
      <alignment horizontal="right"/>
    </xf>
    <xf numFmtId="172" fontId="22" fillId="0" borderId="14" xfId="0" applyNumberFormat="1" applyFont="1" applyFill="1" applyBorder="1" applyAlignment="1">
      <alignment horizontal="right"/>
    </xf>
    <xf numFmtId="172" fontId="3" fillId="0" borderId="15" xfId="0" applyNumberFormat="1" applyFont="1" applyFill="1" applyBorder="1" applyAlignment="1">
      <alignment horizontal="right"/>
    </xf>
    <xf numFmtId="2" fontId="22" fillId="0" borderId="8" xfId="0" applyNumberFormat="1" applyFont="1" applyFill="1" applyBorder="1" applyAlignment="1">
      <alignment horizontal="center" wrapText="1"/>
    </xf>
    <xf numFmtId="168" fontId="22" fillId="0" borderId="9" xfId="0" applyNumberFormat="1"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168" fontId="3" fillId="0" borderId="9" xfId="0" quotePrefix="1" applyNumberFormat="1" applyFont="1" applyFill="1" applyBorder="1" applyAlignment="1">
      <alignment horizontal="right" wrapText="1"/>
    </xf>
    <xf numFmtId="168" fontId="1" fillId="0" borderId="9" xfId="0" quotePrefix="1" applyNumberFormat="1" applyFont="1" applyFill="1" applyBorder="1" applyAlignment="1">
      <alignment horizontal="right" wrapText="1"/>
    </xf>
    <xf numFmtId="168" fontId="22" fillId="0" borderId="8" xfId="0" applyNumberFormat="1" applyFont="1" applyFill="1" applyBorder="1" applyAlignment="1">
      <alignment horizontal="center" wrapText="1"/>
    </xf>
    <xf numFmtId="0" fontId="22" fillId="0" borderId="0" xfId="0" quotePrefix="1" applyFont="1" applyFill="1" applyBorder="1" applyAlignment="1">
      <alignment horizontal="center" wrapText="1"/>
    </xf>
    <xf numFmtId="166" fontId="1" fillId="0" borderId="8" xfId="0" quotePrefix="1" applyNumberFormat="1" applyFont="1" applyFill="1" applyBorder="1" applyAlignment="1">
      <alignment horizontal="right"/>
    </xf>
    <xf numFmtId="166" fontId="1" fillId="0" borderId="2" xfId="6" quotePrefix="1" applyNumberFormat="1" applyFont="1" applyFill="1" applyBorder="1" applyAlignment="1">
      <alignment horizontal="right"/>
    </xf>
    <xf numFmtId="166" fontId="1" fillId="0" borderId="6" xfId="6" quotePrefix="1" applyNumberFormat="1" applyFont="1" applyFill="1" applyBorder="1" applyAlignment="1">
      <alignment horizontal="right"/>
    </xf>
    <xf numFmtId="166" fontId="1" fillId="0" borderId="2" xfId="4" quotePrefix="1" applyNumberFormat="1" applyFont="1" applyFill="1" applyBorder="1" applyAlignment="1">
      <alignment horizontal="right"/>
    </xf>
    <xf numFmtId="166" fontId="1" fillId="0" borderId="6" xfId="4" quotePrefix="1" applyNumberFormat="1" applyFont="1" applyFill="1" applyBorder="1" applyAlignment="1">
      <alignment horizontal="right"/>
    </xf>
    <xf numFmtId="168" fontId="1" fillId="0" borderId="2" xfId="4" quotePrefix="1" applyNumberFormat="1" applyFont="1" applyFill="1" applyBorder="1" applyAlignment="1">
      <alignment horizontal="right"/>
    </xf>
    <xf numFmtId="168" fontId="1" fillId="0" borderId="6" xfId="4" quotePrefix="1" applyNumberFormat="1" applyFont="1" applyFill="1" applyBorder="1" applyAlignment="1">
      <alignment horizontal="right"/>
    </xf>
    <xf numFmtId="3" fontId="1" fillId="0" borderId="0" xfId="4" quotePrefix="1" applyNumberFormat="1" applyFont="1" applyFill="1" applyBorder="1" applyAlignment="1">
      <alignment horizontal="right"/>
    </xf>
    <xf numFmtId="3" fontId="1" fillId="0" borderId="8" xfId="4" quotePrefix="1" applyNumberFormat="1" applyFont="1" applyFill="1" applyBorder="1" applyAlignment="1">
      <alignment horizontal="right"/>
    </xf>
    <xf numFmtId="3" fontId="1" fillId="0" borderId="9" xfId="4" quotePrefix="1" applyNumberFormat="1" applyFont="1" applyFill="1" applyBorder="1" applyAlignment="1">
      <alignment horizontal="right"/>
    </xf>
    <xf numFmtId="0" fontId="1" fillId="0" borderId="0" xfId="0" quotePrefix="1" applyFont="1" applyFill="1" applyBorder="1" applyAlignment="1">
      <alignment horizontal="right"/>
    </xf>
    <xf numFmtId="0" fontId="1" fillId="0" borderId="8" xfId="0" quotePrefix="1" applyFont="1" applyFill="1" applyBorder="1" applyAlignment="1">
      <alignment horizontal="right"/>
    </xf>
    <xf numFmtId="0" fontId="1" fillId="0" borderId="9" xfId="0" quotePrefix="1" applyFont="1" applyFill="1" applyBorder="1" applyAlignment="1">
      <alignment horizontal="right"/>
    </xf>
    <xf numFmtId="3" fontId="1" fillId="0" borderId="2" xfId="4" quotePrefix="1" applyNumberFormat="1" applyFont="1" applyFill="1" applyBorder="1" applyAlignment="1">
      <alignment horizontal="right"/>
    </xf>
    <xf numFmtId="3" fontId="1" fillId="0" borderId="6" xfId="4" quotePrefix="1" applyNumberFormat="1" applyFont="1" applyFill="1" applyBorder="1" applyAlignment="1">
      <alignment horizontal="right"/>
    </xf>
    <xf numFmtId="0" fontId="1" fillId="0" borderId="8" xfId="0" quotePrefix="1" applyFont="1" applyFill="1" applyBorder="1" applyAlignment="1">
      <alignment horizontal="center" wrapText="1"/>
    </xf>
    <xf numFmtId="0" fontId="1" fillId="0" borderId="9" xfId="0" quotePrefix="1" applyFont="1" applyFill="1" applyBorder="1" applyAlignment="1">
      <alignment horizontal="center" wrapText="1"/>
    </xf>
    <xf numFmtId="168" fontId="1" fillId="0" borderId="7" xfId="0" quotePrefix="1" applyNumberFormat="1" applyFont="1" applyFill="1" applyBorder="1" applyAlignment="1">
      <alignment horizontal="right"/>
    </xf>
    <xf numFmtId="168" fontId="1" fillId="0" borderId="2" xfId="0" quotePrefix="1" applyNumberFormat="1" applyFont="1" applyFill="1" applyBorder="1" applyAlignment="1">
      <alignment horizontal="right"/>
    </xf>
    <xf numFmtId="168" fontId="1" fillId="0" borderId="6" xfId="0" quotePrefix="1" applyNumberFormat="1" applyFont="1" applyFill="1" applyBorder="1" applyAlignment="1">
      <alignment horizontal="right"/>
    </xf>
    <xf numFmtId="0" fontId="21" fillId="0" borderId="3" xfId="0" applyFont="1" applyFill="1" applyBorder="1" applyAlignment="1">
      <alignment horizontal="center" vertical="center"/>
    </xf>
    <xf numFmtId="0" fontId="1" fillId="0" borderId="0" xfId="0" applyFont="1" applyFill="1" applyAlignment="1">
      <alignment horizontal="center" vertical="center"/>
    </xf>
    <xf numFmtId="0" fontId="15" fillId="0" borderId="0" xfId="0" applyFont="1" applyAlignment="1">
      <alignment horizontal="left" vertical="top" wrapText="1" readingOrder="1"/>
    </xf>
    <xf numFmtId="2" fontId="0" fillId="0" borderId="0" xfId="0" quotePrefix="1" applyNumberFormat="1"/>
    <xf numFmtId="2" fontId="0" fillId="0" borderId="0" xfId="0" quotePrefix="1" applyNumberFormat="1" applyFill="1"/>
    <xf numFmtId="0" fontId="1" fillId="0" borderId="14" xfId="0" applyFont="1" applyFill="1" applyBorder="1" applyAlignment="1">
      <alignment horizontal="center" vertical="center"/>
    </xf>
    <xf numFmtId="0" fontId="1" fillId="0" borderId="0" xfId="0" applyFont="1" applyFill="1" applyAlignment="1">
      <alignment horizontal="right"/>
    </xf>
    <xf numFmtId="3" fontId="1" fillId="0" borderId="14" xfId="4" quotePrefix="1" applyNumberFormat="1" applyFont="1" applyFill="1" applyBorder="1" applyAlignment="1">
      <alignment horizontal="right"/>
    </xf>
    <xf numFmtId="165" fontId="1" fillId="0" borderId="0" xfId="0" applyNumberFormat="1" applyFont="1" applyFill="1" applyAlignment="1">
      <alignment horizontal="right"/>
    </xf>
    <xf numFmtId="0" fontId="1" fillId="0" borderId="8" xfId="0" applyFont="1" applyFill="1" applyBorder="1" applyAlignment="1">
      <alignment horizontal="right"/>
    </xf>
    <xf numFmtId="0" fontId="1" fillId="0" borderId="9" xfId="0" applyFont="1" applyFill="1" applyBorder="1" applyAlignment="1">
      <alignment horizontal="right"/>
    </xf>
    <xf numFmtId="0" fontId="1" fillId="0" borderId="0" xfId="0" applyFont="1" applyFill="1" applyBorder="1" applyAlignment="1">
      <alignment horizontal="right"/>
    </xf>
    <xf numFmtId="167" fontId="1" fillId="0" borderId="8" xfId="4" quotePrefix="1" applyNumberFormat="1" applyFont="1" applyFill="1" applyBorder="1" applyAlignment="1">
      <alignment horizontal="right"/>
    </xf>
    <xf numFmtId="0" fontId="1" fillId="0" borderId="0" xfId="0" applyFont="1" applyFill="1" applyBorder="1" applyAlignment="1">
      <alignment horizontal="center" vertical="top"/>
    </xf>
    <xf numFmtId="0" fontId="15" fillId="0" borderId="4" xfId="0" applyFont="1" applyBorder="1" applyAlignment="1">
      <alignment horizontal="center" vertical="top" readingOrder="1"/>
    </xf>
    <xf numFmtId="0" fontId="15" fillId="0" borderId="0" xfId="0" applyFont="1" applyBorder="1" applyAlignment="1">
      <alignment horizontal="center" vertical="top" readingOrder="1"/>
    </xf>
    <xf numFmtId="0" fontId="15" fillId="0" borderId="2" xfId="0" applyFont="1" applyBorder="1" applyAlignment="1">
      <alignment horizontal="center" vertical="top" readingOrder="1"/>
    </xf>
    <xf numFmtId="0" fontId="14" fillId="0" borderId="0" xfId="0" applyFont="1" applyAlignment="1">
      <alignment horizontal="center" vertical="top" wrapText="1" readingOrder="1"/>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1" fillId="0" borderId="10" xfId="0" applyFont="1" applyFill="1" applyBorder="1" applyAlignment="1">
      <alignment horizontal="right" vertical="center"/>
    </xf>
    <xf numFmtId="0" fontId="14" fillId="0" borderId="10" xfId="0" applyFont="1" applyFill="1" applyBorder="1" applyAlignment="1">
      <alignment horizontal="right" vertical="top" wrapText="1" readingOrder="1"/>
    </xf>
    <xf numFmtId="0" fontId="15" fillId="0" borderId="8" xfId="0" applyFont="1" applyFill="1" applyBorder="1" applyAlignment="1">
      <alignment horizontal="right"/>
    </xf>
    <xf numFmtId="0" fontId="14" fillId="0" borderId="12" xfId="0" applyFont="1" applyFill="1" applyBorder="1" applyAlignment="1">
      <alignment horizontal="right" vertical="top" wrapText="1" readingOrder="1"/>
    </xf>
    <xf numFmtId="0" fontId="15" fillId="0" borderId="6" xfId="0" applyFont="1" applyFill="1" applyBorder="1" applyAlignment="1">
      <alignment horizontal="right"/>
    </xf>
    <xf numFmtId="0" fontId="15" fillId="0" borderId="0" xfId="0" applyFont="1" applyFill="1" applyAlignment="1">
      <alignment horizontal="right"/>
    </xf>
    <xf numFmtId="0" fontId="14" fillId="0" borderId="0" xfId="0" applyFont="1" applyFill="1" applyAlignment="1">
      <alignment horizontal="right" vertical="top" wrapText="1" readingOrder="1"/>
    </xf>
    <xf numFmtId="0" fontId="1" fillId="0" borderId="0" xfId="0" applyFont="1" applyFill="1" applyBorder="1" applyAlignment="1">
      <alignment horizontal="right" wrapText="1"/>
    </xf>
    <xf numFmtId="0" fontId="1" fillId="0" borderId="0" xfId="0" applyFont="1" applyFill="1" applyAlignment="1">
      <alignment horizontal="right" wrapText="1"/>
    </xf>
    <xf numFmtId="0" fontId="3" fillId="0" borderId="0" xfId="0" applyFont="1" applyFill="1" applyAlignment="1">
      <alignment horizontal="right"/>
    </xf>
    <xf numFmtId="0" fontId="18" fillId="0" borderId="0" xfId="0" applyFont="1" applyFill="1" applyAlignment="1">
      <alignment horizontal="right" vertical="top" readingOrder="1"/>
    </xf>
    <xf numFmtId="0" fontId="3" fillId="0" borderId="0" xfId="0" applyFont="1" applyFill="1" applyBorder="1" applyAlignment="1">
      <alignment horizontal="right" wrapText="1"/>
    </xf>
    <xf numFmtId="0" fontId="0" fillId="0" borderId="0" xfId="0" applyFill="1" applyAlignment="1">
      <alignment horizontal="right" wrapText="1"/>
    </xf>
    <xf numFmtId="0" fontId="1" fillId="0" borderId="0" xfId="0" applyFont="1" applyFill="1" applyAlignment="1">
      <alignment horizontal="center" wrapText="1"/>
    </xf>
    <xf numFmtId="0" fontId="22" fillId="0" borderId="8" xfId="0" quotePrefix="1" applyNumberFormat="1" applyFont="1" applyFill="1" applyBorder="1" applyAlignment="1">
      <alignment horizontal="center" wrapText="1"/>
    </xf>
    <xf numFmtId="0" fontId="15" fillId="0" borderId="4" xfId="0" applyFont="1" applyBorder="1" applyAlignment="1">
      <alignment horizontal="left" vertical="top" readingOrder="1"/>
    </xf>
    <xf numFmtId="0" fontId="15" fillId="0" borderId="0" xfId="0" applyFont="1" applyBorder="1" applyAlignment="1">
      <alignment horizontal="left" vertical="top" readingOrder="1"/>
    </xf>
    <xf numFmtId="0" fontId="15" fillId="0" borderId="0" xfId="0" applyFont="1" applyAlignment="1">
      <alignment horizontal="left" vertical="top" wrapText="1" readingOrder="1"/>
    </xf>
    <xf numFmtId="0" fontId="15" fillId="0" borderId="0" xfId="0" applyFont="1" applyFill="1" applyAlignment="1">
      <alignment horizontal="left" readingOrder="1"/>
    </xf>
    <xf numFmtId="0" fontId="1" fillId="0" borderId="8" xfId="0" quotePrefix="1" applyNumberFormat="1" applyFont="1" applyFill="1" applyBorder="1" applyAlignment="1">
      <alignment horizontal="center" wrapText="1"/>
    </xf>
    <xf numFmtId="0" fontId="14" fillId="0" borderId="0" xfId="0" applyFont="1" applyBorder="1" applyAlignment="1">
      <alignment horizontal="left" vertical="top" wrapText="1" readingOrder="1"/>
    </xf>
    <xf numFmtId="166" fontId="1" fillId="0" borderId="3" xfId="0" applyNumberFormat="1" applyFont="1" applyFill="1" applyBorder="1" applyAlignment="1">
      <alignment horizontal="center" vertical="center"/>
    </xf>
    <xf numFmtId="166" fontId="1" fillId="0" borderId="5" xfId="0" applyNumberFormat="1" applyFont="1" applyFill="1" applyBorder="1" applyAlignment="1">
      <alignment horizontal="center" vertical="center"/>
    </xf>
    <xf numFmtId="0" fontId="26" fillId="0" borderId="0" xfId="0" applyFont="1" applyAlignment="1">
      <alignment horizontal="left" vertical="top" wrapText="1" readingOrder="1"/>
    </xf>
    <xf numFmtId="0" fontId="15" fillId="0" borderId="0" xfId="0" applyFont="1" applyAlignment="1">
      <alignment horizontal="left" vertical="top" wrapText="1" readingOrder="1"/>
    </xf>
    <xf numFmtId="0" fontId="14" fillId="0" borderId="0" xfId="0" applyFont="1" applyAlignment="1">
      <alignment horizontal="left" vertical="top" wrapText="1" readingOrder="1"/>
    </xf>
    <xf numFmtId="0" fontId="14" fillId="0" borderId="0" xfId="0" applyFont="1" applyFill="1" applyAlignment="1">
      <alignment horizontal="left" vertical="top" wrapText="1" readingOrder="1"/>
    </xf>
    <xf numFmtId="0" fontId="14" fillId="0" borderId="0" xfId="0" applyFont="1" applyAlignment="1">
      <alignment horizontal="left" wrapText="1" readingOrder="1"/>
    </xf>
    <xf numFmtId="0" fontId="17" fillId="0" borderId="0" xfId="0" applyFont="1" applyAlignment="1">
      <alignment horizontal="left" vertical="top" wrapText="1" readingOrder="1"/>
    </xf>
    <xf numFmtId="0" fontId="18" fillId="0" borderId="0" xfId="0" applyFont="1" applyAlignment="1">
      <alignment horizontal="left" vertical="top" wrapText="1" readingOrder="1"/>
    </xf>
    <xf numFmtId="0" fontId="17" fillId="0" borderId="0" xfId="0" applyFont="1" applyAlignment="1">
      <alignment horizontal="left" vertical="top" readingOrder="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4" fillId="0" borderId="0" xfId="0" applyFont="1" applyBorder="1" applyAlignment="1">
      <alignment horizontal="right" vertical="top" wrapText="1" readingOrder="1"/>
    </xf>
    <xf numFmtId="0" fontId="14" fillId="0" borderId="0" xfId="0" applyFont="1" applyBorder="1" applyAlignment="1">
      <alignment horizontal="center" vertical="center" wrapText="1" readingOrder="1"/>
    </xf>
    <xf numFmtId="0" fontId="15" fillId="0" borderId="0" xfId="0" applyFont="1" applyAlignment="1">
      <alignment horizontal="right" vertical="top" wrapText="1" readingOrder="1"/>
    </xf>
    <xf numFmtId="0" fontId="15" fillId="0" borderId="0" xfId="0" applyFont="1" applyAlignment="1">
      <alignment horizontal="center" vertical="center" wrapText="1" readingOrder="1"/>
    </xf>
    <xf numFmtId="0" fontId="15" fillId="0" borderId="1" xfId="0" applyFont="1" applyBorder="1" applyAlignment="1">
      <alignment horizontal="left" vertical="top" wrapText="1" readingOrder="1"/>
    </xf>
    <xf numFmtId="0" fontId="14" fillId="0" borderId="0" xfId="0" applyFont="1" applyBorder="1" applyAlignment="1">
      <alignment horizontal="left" vertical="top" wrapText="1"/>
    </xf>
    <xf numFmtId="172" fontId="14" fillId="0" borderId="0" xfId="0" applyNumberFormat="1" applyFont="1" applyBorder="1" applyAlignment="1">
      <alignment horizontal="left" vertical="top" wrapText="1"/>
    </xf>
    <xf numFmtId="166" fontId="14" fillId="0" borderId="0" xfId="0" applyNumberFormat="1" applyFont="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15" fillId="0" borderId="0" xfId="0" applyFont="1" applyAlignment="1">
      <alignment horizontal="left" vertical="top" wrapText="1"/>
    </xf>
    <xf numFmtId="172" fontId="15" fillId="0" borderId="0" xfId="0" applyNumberFormat="1" applyFont="1" applyAlignment="1">
      <alignment horizontal="left" vertical="top" wrapText="1"/>
    </xf>
    <xf numFmtId="166" fontId="15" fillId="0" borderId="0" xfId="0" applyNumberFormat="1" applyFont="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vertical="center" wrapText="1"/>
    </xf>
  </cellXfs>
  <cellStyles count="7">
    <cellStyle name="Bad" xfId="1" builtinId="27"/>
    <cellStyle name="Comma" xfId="2" builtinId="3"/>
    <cellStyle name="Comma 2" xfId="3"/>
    <cellStyle name="Normal" xfId="0" builtinId="0"/>
    <cellStyle name="Percent" xfId="4" builtinId="5"/>
    <cellStyle name="Percent 2" xfId="5"/>
    <cellStyle name="Percent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203200</xdr:colOff>
      <xdr:row>58</xdr:row>
      <xdr:rowOff>0</xdr:rowOff>
    </xdr:from>
    <xdr:to>
      <xdr:col>31</xdr:col>
      <xdr:colOff>203200</xdr:colOff>
      <xdr:row>90</xdr:row>
      <xdr:rowOff>66675</xdr:rowOff>
    </xdr:to>
    <xdr:sp macro="" textlink="">
      <xdr:nvSpPr>
        <xdr:cNvPr id="2" name="Text Box 1"/>
        <xdr:cNvSpPr txBox="1">
          <a:spLocks noChangeArrowheads="1"/>
        </xdr:cNvSpPr>
      </xdr:nvSpPr>
      <xdr:spPr bwMode="auto">
        <a:xfrm>
          <a:off x="25053925" y="12030075"/>
          <a:ext cx="0" cy="13896975"/>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203200</xdr:colOff>
      <xdr:row>70</xdr:row>
      <xdr:rowOff>0</xdr:rowOff>
    </xdr:from>
    <xdr:to>
      <xdr:col>20</xdr:col>
      <xdr:colOff>203200</xdr:colOff>
      <xdr:row>89</xdr:row>
      <xdr:rowOff>66675</xdr:rowOff>
    </xdr:to>
    <xdr:sp macro="" textlink="">
      <xdr:nvSpPr>
        <xdr:cNvPr id="15361" name="Text Box 1"/>
        <xdr:cNvSpPr txBox="1">
          <a:spLocks noChangeArrowheads="1"/>
        </xdr:cNvSpPr>
      </xdr:nvSpPr>
      <xdr:spPr bwMode="auto">
        <a:xfrm>
          <a:off x="13547725" y="15440025"/>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203200</xdr:colOff>
      <xdr:row>70</xdr:row>
      <xdr:rowOff>0</xdr:rowOff>
    </xdr:from>
    <xdr:to>
      <xdr:col>20</xdr:col>
      <xdr:colOff>203200</xdr:colOff>
      <xdr:row>89</xdr:row>
      <xdr:rowOff>66675</xdr:rowOff>
    </xdr:to>
    <xdr:sp macro="" textlink="">
      <xdr:nvSpPr>
        <xdr:cNvPr id="14337" name="Text Box 1"/>
        <xdr:cNvSpPr txBox="1">
          <a:spLocks noChangeArrowheads="1"/>
        </xdr:cNvSpPr>
      </xdr:nvSpPr>
      <xdr:spPr bwMode="auto">
        <a:xfrm>
          <a:off x="13395325" y="15240000"/>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32</xdr:col>
      <xdr:colOff>203200</xdr:colOff>
      <xdr:row>70</xdr:row>
      <xdr:rowOff>0</xdr:rowOff>
    </xdr:from>
    <xdr:to>
      <xdr:col>32</xdr:col>
      <xdr:colOff>203200</xdr:colOff>
      <xdr:row>90</xdr:row>
      <xdr:rowOff>66675</xdr:rowOff>
    </xdr:to>
    <xdr:sp macro="" textlink="">
      <xdr:nvSpPr>
        <xdr:cNvPr id="13313" name="Text Box 1"/>
        <xdr:cNvSpPr txBox="1">
          <a:spLocks noChangeArrowheads="1"/>
        </xdr:cNvSpPr>
      </xdr:nvSpPr>
      <xdr:spPr bwMode="auto">
        <a:xfrm>
          <a:off x="13357225" y="15249525"/>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32</xdr:col>
      <xdr:colOff>203200</xdr:colOff>
      <xdr:row>70</xdr:row>
      <xdr:rowOff>0</xdr:rowOff>
    </xdr:from>
    <xdr:to>
      <xdr:col>32</xdr:col>
      <xdr:colOff>203200</xdr:colOff>
      <xdr:row>91</xdr:row>
      <xdr:rowOff>66675</xdr:rowOff>
    </xdr:to>
    <xdr:sp macro="" textlink="">
      <xdr:nvSpPr>
        <xdr:cNvPr id="12289" name="Text Box 1"/>
        <xdr:cNvSpPr txBox="1">
          <a:spLocks noChangeArrowheads="1"/>
        </xdr:cNvSpPr>
      </xdr:nvSpPr>
      <xdr:spPr bwMode="auto">
        <a:xfrm>
          <a:off x="13528675" y="15135225"/>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0</xdr:colOff>
      <xdr:row>71</xdr:row>
      <xdr:rowOff>0</xdr:rowOff>
    </xdr:from>
    <xdr:to>
      <xdr:col>24</xdr:col>
      <xdr:colOff>0</xdr:colOff>
      <xdr:row>92</xdr:row>
      <xdr:rowOff>66675</xdr:rowOff>
    </xdr:to>
    <xdr:sp macro="" textlink="">
      <xdr:nvSpPr>
        <xdr:cNvPr id="8196" name="Text Box 4"/>
        <xdr:cNvSpPr txBox="1">
          <a:spLocks noChangeArrowheads="1"/>
        </xdr:cNvSpPr>
      </xdr:nvSpPr>
      <xdr:spPr bwMode="auto">
        <a:xfrm>
          <a:off x="8239125" y="13906500"/>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71</xdr:row>
      <xdr:rowOff>0</xdr:rowOff>
    </xdr:from>
    <xdr:to>
      <xdr:col>12</xdr:col>
      <xdr:colOff>0</xdr:colOff>
      <xdr:row>92</xdr:row>
      <xdr:rowOff>66675</xdr:rowOff>
    </xdr:to>
    <xdr:sp macro="" textlink="">
      <xdr:nvSpPr>
        <xdr:cNvPr id="3076" name="Text Box 4"/>
        <xdr:cNvSpPr txBox="1">
          <a:spLocks noChangeArrowheads="1"/>
        </xdr:cNvSpPr>
      </xdr:nvSpPr>
      <xdr:spPr bwMode="auto">
        <a:xfrm>
          <a:off x="8496300" y="14163675"/>
          <a:ext cx="0" cy="6543675"/>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70</xdr:row>
      <xdr:rowOff>0</xdr:rowOff>
    </xdr:from>
    <xdr:to>
      <xdr:col>12</xdr:col>
      <xdr:colOff>0</xdr:colOff>
      <xdr:row>92</xdr:row>
      <xdr:rowOff>66675</xdr:rowOff>
    </xdr:to>
    <xdr:sp macro="" textlink="">
      <xdr:nvSpPr>
        <xdr:cNvPr id="2052" name="Text Box 4"/>
        <xdr:cNvSpPr txBox="1">
          <a:spLocks noChangeArrowheads="1"/>
        </xdr:cNvSpPr>
      </xdr:nvSpPr>
      <xdr:spPr bwMode="auto">
        <a:xfrm>
          <a:off x="8591550" y="13925550"/>
          <a:ext cx="0" cy="6219825"/>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0</xdr:colOff>
      <xdr:row>70</xdr:row>
      <xdr:rowOff>0</xdr:rowOff>
    </xdr:from>
    <xdr:to>
      <xdr:col>12</xdr:col>
      <xdr:colOff>0</xdr:colOff>
      <xdr:row>88</xdr:row>
      <xdr:rowOff>66675</xdr:rowOff>
    </xdr:to>
    <xdr:sp macro="" textlink="">
      <xdr:nvSpPr>
        <xdr:cNvPr id="1028" name="Text Box 4"/>
        <xdr:cNvSpPr txBox="1">
          <a:spLocks noChangeArrowheads="1"/>
        </xdr:cNvSpPr>
      </xdr:nvSpPr>
      <xdr:spPr bwMode="auto">
        <a:xfrm>
          <a:off x="8534400" y="14144625"/>
          <a:ext cx="0" cy="5572125"/>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203200</xdr:colOff>
      <xdr:row>58</xdr:row>
      <xdr:rowOff>0</xdr:rowOff>
    </xdr:from>
    <xdr:to>
      <xdr:col>31</xdr:col>
      <xdr:colOff>203200</xdr:colOff>
      <xdr:row>90</xdr:row>
      <xdr:rowOff>66675</xdr:rowOff>
    </xdr:to>
    <xdr:sp macro="" textlink="">
      <xdr:nvSpPr>
        <xdr:cNvPr id="2" name="Text Box 1"/>
        <xdr:cNvSpPr txBox="1">
          <a:spLocks noChangeArrowheads="1"/>
        </xdr:cNvSpPr>
      </xdr:nvSpPr>
      <xdr:spPr bwMode="auto">
        <a:xfrm>
          <a:off x="25053925" y="12068175"/>
          <a:ext cx="0" cy="13896975"/>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203200</xdr:colOff>
      <xdr:row>58</xdr:row>
      <xdr:rowOff>0</xdr:rowOff>
    </xdr:from>
    <xdr:to>
      <xdr:col>31</xdr:col>
      <xdr:colOff>203200</xdr:colOff>
      <xdr:row>90</xdr:row>
      <xdr:rowOff>66675</xdr:rowOff>
    </xdr:to>
    <xdr:sp macro="" textlink="">
      <xdr:nvSpPr>
        <xdr:cNvPr id="2" name="Text Box 1"/>
        <xdr:cNvSpPr txBox="1">
          <a:spLocks noChangeArrowheads="1"/>
        </xdr:cNvSpPr>
      </xdr:nvSpPr>
      <xdr:spPr bwMode="auto">
        <a:xfrm>
          <a:off x="16300450" y="16002000"/>
          <a:ext cx="0" cy="157162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203200</xdr:colOff>
      <xdr:row>58</xdr:row>
      <xdr:rowOff>0</xdr:rowOff>
    </xdr:from>
    <xdr:to>
      <xdr:col>31</xdr:col>
      <xdr:colOff>203200</xdr:colOff>
      <xdr:row>89</xdr:row>
      <xdr:rowOff>66675</xdr:rowOff>
    </xdr:to>
    <xdr:sp macro="" textlink="">
      <xdr:nvSpPr>
        <xdr:cNvPr id="2" name="Text Box 1"/>
        <xdr:cNvSpPr txBox="1">
          <a:spLocks noChangeArrowheads="1"/>
        </xdr:cNvSpPr>
      </xdr:nvSpPr>
      <xdr:spPr bwMode="auto">
        <a:xfrm>
          <a:off x="17995900" y="16078200"/>
          <a:ext cx="0" cy="11515725"/>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203200</xdr:colOff>
      <xdr:row>71</xdr:row>
      <xdr:rowOff>0</xdr:rowOff>
    </xdr:from>
    <xdr:to>
      <xdr:col>32</xdr:col>
      <xdr:colOff>203200</xdr:colOff>
      <xdr:row>91</xdr:row>
      <xdr:rowOff>66675</xdr:rowOff>
    </xdr:to>
    <xdr:sp macro="" textlink="">
      <xdr:nvSpPr>
        <xdr:cNvPr id="2" name="Text Box 1"/>
        <xdr:cNvSpPr txBox="1">
          <a:spLocks noChangeArrowheads="1"/>
        </xdr:cNvSpPr>
      </xdr:nvSpPr>
      <xdr:spPr bwMode="auto">
        <a:xfrm>
          <a:off x="13604875" y="16049625"/>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203200</xdr:colOff>
      <xdr:row>72</xdr:row>
      <xdr:rowOff>0</xdr:rowOff>
    </xdr:from>
    <xdr:to>
      <xdr:col>32</xdr:col>
      <xdr:colOff>203200</xdr:colOff>
      <xdr:row>92</xdr:row>
      <xdr:rowOff>66675</xdr:rowOff>
    </xdr:to>
    <xdr:sp macro="" textlink="">
      <xdr:nvSpPr>
        <xdr:cNvPr id="2" name="Text Box 1"/>
        <xdr:cNvSpPr txBox="1">
          <a:spLocks noChangeArrowheads="1"/>
        </xdr:cNvSpPr>
      </xdr:nvSpPr>
      <xdr:spPr bwMode="auto">
        <a:xfrm>
          <a:off x="13604875" y="16230600"/>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203200</xdr:colOff>
      <xdr:row>72</xdr:row>
      <xdr:rowOff>0</xdr:rowOff>
    </xdr:from>
    <xdr:to>
      <xdr:col>32</xdr:col>
      <xdr:colOff>203200</xdr:colOff>
      <xdr:row>91</xdr:row>
      <xdr:rowOff>66675</xdr:rowOff>
    </xdr:to>
    <xdr:sp macro="" textlink="">
      <xdr:nvSpPr>
        <xdr:cNvPr id="2" name="Text Box 1"/>
        <xdr:cNvSpPr txBox="1">
          <a:spLocks noChangeArrowheads="1"/>
        </xdr:cNvSpPr>
      </xdr:nvSpPr>
      <xdr:spPr bwMode="auto">
        <a:xfrm>
          <a:off x="13795375" y="16554450"/>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203200</xdr:colOff>
      <xdr:row>71</xdr:row>
      <xdr:rowOff>0</xdr:rowOff>
    </xdr:from>
    <xdr:to>
      <xdr:col>20</xdr:col>
      <xdr:colOff>203200</xdr:colOff>
      <xdr:row>90</xdr:row>
      <xdr:rowOff>66675</xdr:rowOff>
    </xdr:to>
    <xdr:sp macro="" textlink="">
      <xdr:nvSpPr>
        <xdr:cNvPr id="2" name="Text Box 1"/>
        <xdr:cNvSpPr txBox="1">
          <a:spLocks noChangeArrowheads="1"/>
        </xdr:cNvSpPr>
      </xdr:nvSpPr>
      <xdr:spPr bwMode="auto">
        <a:xfrm>
          <a:off x="13585825" y="16583025"/>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203200</xdr:colOff>
      <xdr:row>70</xdr:row>
      <xdr:rowOff>0</xdr:rowOff>
    </xdr:from>
    <xdr:to>
      <xdr:col>20</xdr:col>
      <xdr:colOff>203200</xdr:colOff>
      <xdr:row>89</xdr:row>
      <xdr:rowOff>66675</xdr:rowOff>
    </xdr:to>
    <xdr:sp macro="" textlink="">
      <xdr:nvSpPr>
        <xdr:cNvPr id="2" name="Text Box 1"/>
        <xdr:cNvSpPr txBox="1">
          <a:spLocks noChangeArrowheads="1"/>
        </xdr:cNvSpPr>
      </xdr:nvSpPr>
      <xdr:spPr bwMode="auto">
        <a:xfrm>
          <a:off x="13500100" y="15459075"/>
          <a:ext cx="0" cy="638175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Footnotes: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1. This table reports employee social security contribution rates and related provisions (using the illustrative city (most populated) case for those countries where social security provisions vary by locality.  Threshold and maximum contribution amounts are shown in national currencies.  For the purpose of this table, a dash ( - ) means 'not applicable'.  Explanatory notes may be found in the Annex.                   </a:t>
          </a:r>
        </a:p>
        <a:p>
          <a:pPr algn="just" rtl="0">
            <a:defRPr sz="1000"/>
          </a:pPr>
          <a:r>
            <a:rPr lang="en-US" sz="1000" b="0" i="0" strike="noStrike">
              <a:solidFill>
                <a:srgbClr val="000000"/>
              </a:solidFill>
              <a:latin typeface="Arial"/>
              <a:cs typeface="Arial"/>
            </a:rPr>
            <a:t>2. The employee social security contribution (flat or graduated) marginal rates in many cases are aggregates over different rates for different social security contribution pools (e.g., for unemployment, health etc) -- see the note below on aggregation.  In such cases, the aggregated rates can be found by entering the applicable Excel cell.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a:t>
          </a:r>
        </a:p>
        <a:p>
          <a:pPr algn="just" rtl="0">
            <a:defRPr sz="1000"/>
          </a:pPr>
          <a:r>
            <a:rPr lang="en-US" sz="1000" b="0" i="0" strike="noStrike">
              <a:solidFill>
                <a:srgbClr val="000000"/>
              </a:solidFill>
              <a:latin typeface="Arial"/>
              <a:cs typeface="Arial"/>
            </a:rPr>
            <a:t>3. The base parameters (lower threshold and upper threshold) relate to the same time-frame (week, month or year) as indicated in the first (tax base) column.                  </a:t>
          </a:r>
        </a:p>
        <a:p>
          <a:pPr algn="just" rtl="0">
            <a:defRPr sz="1000"/>
          </a:pPr>
          <a:r>
            <a:rPr lang="en-US" sz="1000" b="0" i="0" strike="noStrike">
              <a:solidFill>
                <a:srgbClr val="000000"/>
              </a:solidFill>
              <a:latin typeface="Arial"/>
              <a:cs typeface="Arial"/>
            </a:rPr>
            <a:t>4. The lump-sum charge (if any) relates to the time-frame (annual (A), monthly (M) or weekly (W)) as indicated in parentheses after the lump-sum amount.  Where a taxpayer is exempt from the lump-sum charge if his/her earnings or income fall below a certain level, this amount is indicated in the 'lower threshold' column, with the relevant measure noted in parantheses.  </a:t>
          </a:r>
        </a:p>
        <a:p>
          <a:pPr algn="just" rtl="0">
            <a:defRPr sz="1000"/>
          </a:pPr>
          <a:r>
            <a:rPr lang="en-US" sz="1000" b="0" i="0" strike="noStrike">
              <a:solidFill>
                <a:srgbClr val="000000"/>
              </a:solidFill>
              <a:latin typeface="Arial"/>
              <a:cs typeface="Arial"/>
            </a:rPr>
            <a:t>5. In general, where a flat contribution rate applies, the maximum contribution (which excludes lump sum charge, if any) is calculated as the contribution rate muliplied by the difference between the upper threshold and the lower threshold.  Where a progressive rate structure applies, the maximum contribution is determined in a similar fashion by appyling the applicable marginal rates to the corresponding (maximum) base given by the difference between the corresponding upper and lower thresholds.  Lastly note that where an upper threshold does not exist, in general a maximum contribution would not exist.  Where an upper threshold does not exist, but a maximum contribution is shown, explanatory notes may be provided in the Annex.                </a:t>
          </a:r>
        </a:p>
        <a:p>
          <a:pPr algn="just" rtl="0">
            <a:defRPr sz="1000"/>
          </a:pPr>
          <a:r>
            <a:rPr lang="en-US" sz="1000" b="0" i="0" strike="noStrike">
              <a:solidFill>
                <a:srgbClr val="000000"/>
              </a:solidFill>
              <a:latin typeface="Arial"/>
              <a:cs typeface="Arial"/>
            </a:rPr>
            <a:t>6. The 7th and 8th columns consider the extent to which employee social security contributions are deductible against personal taxable income. Where they are deductible against central government taxable income, the base is shown as TY and the deductible proportion of the contribution is given.  If, in the illustrative city case, sub-central government personal income tax is determined as a percentage of taxable income (TYs) which differs from the definition used for central government purposes (TY) (see Table II.2), and if employee social security contributions are deductible from this base, then TYs and the deductible portion are shown.  If contributions are deductible from both the central government tax base and (separately) the sub-central tax bases, then TY and TYs are shown on separate lines, along with the deductible portions. (Note that if sub-central income tax is determined as a percentage of central government tax or central government taxable income (with employee social security contributions indirectly deductible through this channel), this additional information would not be relevant).                </a:t>
          </a:r>
        </a:p>
        <a:p>
          <a:pPr algn="just" rtl="0">
            <a:defRPr sz="1000"/>
          </a:pPr>
          <a:r>
            <a:rPr lang="en-US" sz="1000" b="0" i="0" strike="noStrike">
              <a:solidFill>
                <a:srgbClr val="000000"/>
              </a:solidFill>
              <a:latin typeface="Arial"/>
              <a:cs typeface="Arial"/>
            </a:rPr>
            <a:t>7. Special features may be elaborated in Explanatory notes in the Annex.                  </a:t>
          </a:r>
        </a:p>
        <a:p>
          <a:pPr algn="just" rtl="0">
            <a:defRPr sz="1000"/>
          </a:pPr>
          <a:r>
            <a:rPr lang="en-US" sz="1000" b="0" i="0" strike="noStrike">
              <a:solidFill>
                <a:srgbClr val="000000"/>
              </a:solidFill>
              <a:latin typeface="Arial"/>
              <a:cs typeface="Arial"/>
            </a:rPr>
            <a:t>                  </a:t>
          </a:r>
        </a:p>
        <a:p>
          <a:pPr algn="just" rtl="0">
            <a:defRPr sz="1000"/>
          </a:pPr>
          <a:r>
            <a:rPr lang="en-US" sz="1000" b="1" i="0" strike="noStrike">
              <a:solidFill>
                <a:srgbClr val="000000"/>
              </a:solidFill>
              <a:latin typeface="Arial"/>
              <a:cs typeface="Arial"/>
            </a:rPr>
            <a:t>Note on aggregation:                  </a:t>
          </a:r>
          <a:endParaRPr lang="en-US" sz="1000" b="0" i="0" strike="noStrike">
            <a:solidFill>
              <a:srgbClr val="000000"/>
            </a:solidFill>
            <a:latin typeface="Arial"/>
            <a:cs typeface="Arial"/>
          </a:endParaRPr>
        </a:p>
        <a:p>
          <a:pPr algn="just" rtl="0">
            <a:defRPr sz="1000"/>
          </a:pPr>
          <a:r>
            <a:rPr lang="en-US" sz="1000" b="0" i="0" strike="noStrike">
              <a:solidFill>
                <a:srgbClr val="000000"/>
              </a:solidFill>
              <a:latin typeface="Arial"/>
              <a:cs typeface="Arial"/>
            </a:rPr>
            <a:t>In some social security systems, both flat rate and progressive rate structures apply.  Where these apply to the same base (e.g., gross earnings), the elements are aggregated for the purpose of reporting in this table.                    </a:t>
          </a:r>
        </a:p>
        <a:p>
          <a:pPr algn="just" rtl="0">
            <a:defRPr sz="1000"/>
          </a:pPr>
          <a:r>
            <a:rPr lang="en-US" sz="1000" b="0" i="0" strike="noStrike">
              <a:solidFill>
                <a:srgbClr val="000000"/>
              </a:solidFill>
              <a:latin typeface="Arial"/>
              <a:cs typeface="Arial"/>
            </a:rPr>
            <a:t>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a:t>
          </a:r>
        </a:p>
        <a:p>
          <a:pPr algn="just"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3"/>
  <sheetViews>
    <sheetView tabSelected="1" zoomScaleNormal="100" workbookViewId="0"/>
  </sheetViews>
  <sheetFormatPr defaultRowHeight="12.75"/>
  <cols>
    <col min="1" max="1" width="18.7109375" style="501" customWidth="1"/>
    <col min="2" max="2" width="10.28515625" style="40" bestFit="1" customWidth="1"/>
    <col min="3" max="3" width="12.7109375" style="30" customWidth="1"/>
    <col min="4" max="4" width="12.7109375" style="40" customWidth="1"/>
    <col min="5" max="5" width="8.7109375" style="60" customWidth="1"/>
    <col min="6" max="7" width="12.7109375" style="71" customWidth="1"/>
    <col min="8" max="8" width="8.7109375" style="71" customWidth="1"/>
    <col min="9" max="10" width="12.7109375" style="71" customWidth="1"/>
    <col min="11" max="11" width="8.7109375" style="71" customWidth="1"/>
    <col min="12" max="13" width="12.7109375" style="71" customWidth="1"/>
    <col min="14" max="14" width="8.7109375" style="71" customWidth="1"/>
    <col min="15" max="16" width="12.7109375" style="71" customWidth="1"/>
    <col min="17" max="17" width="8.7109375" style="71" customWidth="1"/>
    <col min="18" max="19" width="12.7109375" style="71" customWidth="1"/>
    <col min="20" max="20" width="12.7109375" style="72" customWidth="1"/>
    <col min="21" max="21" width="5" style="40" bestFit="1" customWidth="1"/>
    <col min="22" max="22" width="15.42578125" style="73" customWidth="1"/>
    <col min="23" max="23" width="12.7109375" style="40" hidden="1" customWidth="1"/>
    <col min="24" max="37" width="12.7109375" style="40" customWidth="1"/>
    <col min="38" max="16384" width="9.140625" style="40"/>
  </cols>
  <sheetData>
    <row r="1" spans="1:23" s="41" customFormat="1" ht="30" customHeight="1">
      <c r="A1" s="44" t="s">
        <v>284</v>
      </c>
      <c r="B1" s="44"/>
      <c r="C1" s="508"/>
      <c r="D1" s="45"/>
      <c r="E1" s="46"/>
      <c r="F1" s="47"/>
      <c r="G1" s="47"/>
      <c r="H1" s="47"/>
      <c r="I1" s="47"/>
      <c r="J1" s="47"/>
      <c r="K1" s="47"/>
      <c r="L1" s="47"/>
      <c r="M1" s="47"/>
      <c r="N1" s="47"/>
      <c r="O1" s="47"/>
      <c r="P1" s="47"/>
      <c r="Q1" s="47"/>
      <c r="R1" s="47"/>
      <c r="S1" s="47"/>
      <c r="T1" s="45"/>
      <c r="U1" s="45"/>
      <c r="V1" s="48"/>
    </row>
    <row r="2" spans="1:23" s="41" customFormat="1" ht="30" customHeight="1">
      <c r="A2" s="44" t="s">
        <v>103</v>
      </c>
      <c r="B2" s="44"/>
      <c r="C2" s="508"/>
      <c r="D2" s="45"/>
      <c r="E2" s="46"/>
      <c r="F2" s="47"/>
      <c r="G2" s="47"/>
      <c r="H2" s="47"/>
      <c r="I2" s="47"/>
      <c r="J2" s="47"/>
      <c r="K2" s="47"/>
      <c r="L2" s="47"/>
      <c r="M2" s="47"/>
      <c r="N2" s="47"/>
      <c r="O2" s="47"/>
      <c r="P2" s="47"/>
      <c r="Q2" s="47"/>
      <c r="R2" s="47"/>
      <c r="S2" s="47"/>
      <c r="T2" s="45"/>
      <c r="U2" s="45"/>
      <c r="V2" s="48"/>
    </row>
    <row r="3" spans="1:23" s="41" customFormat="1" ht="30" customHeight="1">
      <c r="A3" s="514"/>
      <c r="B3" s="44"/>
      <c r="C3" s="508"/>
      <c r="D3" s="45"/>
      <c r="E3" s="46"/>
      <c r="F3" s="536" t="s">
        <v>248</v>
      </c>
      <c r="G3" s="537"/>
      <c r="H3" s="47"/>
      <c r="I3" s="536" t="s">
        <v>248</v>
      </c>
      <c r="J3" s="537"/>
      <c r="K3" s="47"/>
      <c r="L3" s="536" t="s">
        <v>248</v>
      </c>
      <c r="M3" s="537"/>
      <c r="N3" s="47"/>
      <c r="O3" s="536" t="s">
        <v>248</v>
      </c>
      <c r="P3" s="537"/>
      <c r="Q3" s="47"/>
      <c r="R3" s="536" t="s">
        <v>248</v>
      </c>
      <c r="S3" s="537"/>
      <c r="T3" s="45"/>
      <c r="U3" s="45"/>
      <c r="V3" s="48"/>
    </row>
    <row r="4" spans="1:23" ht="48.75" customHeight="1">
      <c r="A4" s="515" t="s">
        <v>3</v>
      </c>
      <c r="B4" s="209" t="s">
        <v>231</v>
      </c>
      <c r="C4" s="264" t="s">
        <v>1</v>
      </c>
      <c r="D4" s="251"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75" customHeight="1">
      <c r="A5" s="227" t="s">
        <v>33</v>
      </c>
      <c r="B5" s="495">
        <v>0</v>
      </c>
      <c r="C5" s="265" t="s">
        <v>250</v>
      </c>
      <c r="D5" s="252" t="s">
        <v>5</v>
      </c>
      <c r="E5" s="229" t="s">
        <v>5</v>
      </c>
      <c r="F5" s="230" t="s">
        <v>5</v>
      </c>
      <c r="G5" s="231" t="s">
        <v>5</v>
      </c>
      <c r="H5" s="232"/>
      <c r="I5" s="230"/>
      <c r="J5" s="231"/>
      <c r="K5" s="232"/>
      <c r="L5" s="230"/>
      <c r="M5" s="231"/>
      <c r="N5" s="232"/>
      <c r="O5" s="230"/>
      <c r="P5" s="231"/>
      <c r="Q5" s="232"/>
      <c r="R5" s="230"/>
      <c r="S5" s="231"/>
      <c r="T5" s="233" t="s">
        <v>5</v>
      </c>
      <c r="U5" s="228" t="s">
        <v>5</v>
      </c>
      <c r="V5" s="234" t="s">
        <v>5</v>
      </c>
      <c r="W5" s="40" t="str">
        <f>IF(U5="TY","A",IF(U5="TY/TYs","AB",IF(U5="TYs", "B",IF(U5="TC","C",IF(U5="-","",)))))</f>
        <v/>
      </c>
    </row>
    <row r="6" spans="1:23" ht="15.75" customHeight="1">
      <c r="A6" s="235" t="s">
        <v>50</v>
      </c>
      <c r="B6" s="253">
        <v>1</v>
      </c>
      <c r="C6" s="266" t="s">
        <v>7</v>
      </c>
      <c r="D6" s="254" t="s">
        <v>5</v>
      </c>
      <c r="E6" s="143">
        <v>0</v>
      </c>
      <c r="F6" s="133">
        <v>0</v>
      </c>
      <c r="G6" s="134">
        <f>14*415.72</f>
        <v>5820.08</v>
      </c>
      <c r="H6" s="143">
        <f>((0.0387+0.1025)*100)+(0.5+0.5)*6/7</f>
        <v>14.977142857142857</v>
      </c>
      <c r="I6" s="133">
        <f>G6</f>
        <v>5820.08</v>
      </c>
      <c r="J6" s="134">
        <f>1311*14</f>
        <v>18354</v>
      </c>
      <c r="K6" s="143">
        <f>H6+1</f>
        <v>15.977142857142857</v>
      </c>
      <c r="L6" s="133">
        <f>J6</f>
        <v>18354</v>
      </c>
      <c r="M6" s="134">
        <f>1430*14</f>
        <v>20020</v>
      </c>
      <c r="N6" s="143">
        <f>H6+2</f>
        <v>16.977142857142859</v>
      </c>
      <c r="O6" s="133">
        <f>M6</f>
        <v>20020</v>
      </c>
      <c r="P6" s="134">
        <f>1609*14</f>
        <v>22526</v>
      </c>
      <c r="Q6" s="143">
        <f>H6+3</f>
        <v>17.977142857142859</v>
      </c>
      <c r="R6" s="133">
        <f>P6</f>
        <v>22526</v>
      </c>
      <c r="S6" s="134">
        <f>4860*14</f>
        <v>68040</v>
      </c>
      <c r="T6" s="189">
        <f>S6*Q6/100</f>
        <v>12231.648000000001</v>
      </c>
      <c r="U6" s="62" t="s">
        <v>6</v>
      </c>
      <c r="V6" s="236">
        <v>100</v>
      </c>
      <c r="W6" s="40" t="str">
        <f>IF(U6="TY","A",IF(U6="TY/TYs","AB",IF(U6="TYs", "B",IF(U6="TC","C",IF(U6="-","",)))))</f>
        <v>A</v>
      </c>
    </row>
    <row r="7" spans="1:23" ht="15.75" customHeight="1">
      <c r="A7" s="235" t="s">
        <v>26</v>
      </c>
      <c r="B7" s="253">
        <v>1</v>
      </c>
      <c r="C7" s="267" t="s">
        <v>7</v>
      </c>
      <c r="D7" s="254" t="s">
        <v>5</v>
      </c>
      <c r="E7" s="143">
        <f>(0.0087+0.0115+0.0355+0.075)*100</f>
        <v>13.069999999999999</v>
      </c>
      <c r="F7" s="218" t="s">
        <v>5</v>
      </c>
      <c r="G7" s="142" t="s">
        <v>5</v>
      </c>
      <c r="H7" s="121" t="s">
        <v>5</v>
      </c>
      <c r="I7" s="218" t="s">
        <v>5</v>
      </c>
      <c r="J7" s="142" t="s">
        <v>5</v>
      </c>
      <c r="K7" s="121" t="s">
        <v>5</v>
      </c>
      <c r="L7" s="218" t="s">
        <v>5</v>
      </c>
      <c r="M7" s="142" t="s">
        <v>5</v>
      </c>
      <c r="N7" s="121" t="s">
        <v>5</v>
      </c>
      <c r="O7" s="218" t="s">
        <v>5</v>
      </c>
      <c r="P7" s="142" t="s">
        <v>5</v>
      </c>
      <c r="Q7" s="121" t="s">
        <v>5</v>
      </c>
      <c r="R7" s="218" t="s">
        <v>5</v>
      </c>
      <c r="S7" s="142" t="s">
        <v>5</v>
      </c>
      <c r="T7" s="188" t="s">
        <v>5</v>
      </c>
      <c r="U7" s="62" t="s">
        <v>6</v>
      </c>
      <c r="V7" s="236">
        <v>100</v>
      </c>
      <c r="W7" s="40" t="str">
        <f t="shared" ref="W7:W44" si="0">IF(U7="TY","A",IF(U7="TY/TYs","AB",IF(U7="TYs", "B",IF(U7="TC","C",IF(U7="-","",)))))</f>
        <v>A</v>
      </c>
    </row>
    <row r="8" spans="1:23" ht="15.75" customHeight="1">
      <c r="A8" s="235" t="s">
        <v>49</v>
      </c>
      <c r="B8" s="253">
        <v>1</v>
      </c>
      <c r="C8" s="267" t="s">
        <v>8</v>
      </c>
      <c r="D8" s="254" t="s">
        <v>5</v>
      </c>
      <c r="E8" s="143">
        <f>0.0188*100</f>
        <v>1.8800000000000001</v>
      </c>
      <c r="F8" s="133">
        <v>0</v>
      </c>
      <c r="G8" s="134">
        <v>3500</v>
      </c>
      <c r="H8" s="143">
        <f>E8+(0.0495*100)</f>
        <v>6.83</v>
      </c>
      <c r="I8" s="133">
        <f>G8</f>
        <v>3500</v>
      </c>
      <c r="J8" s="134">
        <f>955.04/0.0188</f>
        <v>50799.999999999993</v>
      </c>
      <c r="K8" s="143">
        <f>0.0495*100</f>
        <v>4.95</v>
      </c>
      <c r="L8" s="133">
        <f>J8</f>
        <v>50799.999999999993</v>
      </c>
      <c r="M8" s="134">
        <f>(2544.3/0.0495)+3500</f>
        <v>54900</v>
      </c>
      <c r="N8" s="120" t="s">
        <v>5</v>
      </c>
      <c r="O8" s="219" t="s">
        <v>5</v>
      </c>
      <c r="P8" s="180" t="s">
        <v>5</v>
      </c>
      <c r="Q8" s="120" t="s">
        <v>5</v>
      </c>
      <c r="R8" s="219" t="s">
        <v>5</v>
      </c>
      <c r="S8" s="180" t="s">
        <v>5</v>
      </c>
      <c r="T8" s="189">
        <f>(G8-F8)*E8/100 + (J8-I8)*H8/100 + (M8-L8)*K8/100</f>
        <v>3499.3399999999997</v>
      </c>
      <c r="U8" s="67" t="s">
        <v>5</v>
      </c>
      <c r="V8" s="237" t="s">
        <v>5</v>
      </c>
      <c r="W8" s="40" t="str">
        <f t="shared" si="0"/>
        <v/>
      </c>
    </row>
    <row r="9" spans="1:23" ht="15.75" customHeight="1">
      <c r="A9" s="235" t="s">
        <v>66</v>
      </c>
      <c r="B9" s="253">
        <v>1</v>
      </c>
      <c r="C9" s="267" t="s">
        <v>7</v>
      </c>
      <c r="D9" s="254" t="s">
        <v>5</v>
      </c>
      <c r="E9" s="143">
        <f>0.07*100</f>
        <v>7.0000000000000009</v>
      </c>
      <c r="F9" s="133">
        <v>0</v>
      </c>
      <c r="G9" s="134">
        <f>23226813/12</f>
        <v>1935567.75</v>
      </c>
      <c r="H9" s="120" t="s">
        <v>5</v>
      </c>
      <c r="I9" s="219" t="s">
        <v>5</v>
      </c>
      <c r="J9" s="180" t="s">
        <v>5</v>
      </c>
      <c r="K9" s="120" t="s">
        <v>5</v>
      </c>
      <c r="L9" s="219" t="s">
        <v>5</v>
      </c>
      <c r="M9" s="180" t="s">
        <v>5</v>
      </c>
      <c r="N9" s="120" t="s">
        <v>5</v>
      </c>
      <c r="O9" s="219" t="s">
        <v>5</v>
      </c>
      <c r="P9" s="180" t="s">
        <v>5</v>
      </c>
      <c r="Q9" s="120" t="s">
        <v>5</v>
      </c>
      <c r="R9" s="219" t="s">
        <v>5</v>
      </c>
      <c r="S9" s="180" t="s">
        <v>5</v>
      </c>
      <c r="T9" s="189">
        <f>+E9/100*G9</f>
        <v>135489.74250000002</v>
      </c>
      <c r="U9" s="62" t="s">
        <v>5</v>
      </c>
      <c r="V9" s="237" t="s">
        <v>5</v>
      </c>
      <c r="W9" s="40" t="str">
        <f t="shared" si="0"/>
        <v/>
      </c>
    </row>
    <row r="10" spans="1:23" ht="15.75" customHeight="1">
      <c r="A10" s="235" t="s">
        <v>22</v>
      </c>
      <c r="B10" s="253">
        <v>1</v>
      </c>
      <c r="C10" s="266" t="s">
        <v>7</v>
      </c>
      <c r="D10" s="255" t="s">
        <v>5</v>
      </c>
      <c r="E10" s="135">
        <f>0.045*100</f>
        <v>4.5</v>
      </c>
      <c r="F10" s="133" t="s">
        <v>5</v>
      </c>
      <c r="G10" s="180" t="s">
        <v>5</v>
      </c>
      <c r="H10" s="120" t="s">
        <v>5</v>
      </c>
      <c r="I10" s="219" t="s">
        <v>5</v>
      </c>
      <c r="J10" s="180" t="s">
        <v>5</v>
      </c>
      <c r="K10" s="120" t="s">
        <v>5</v>
      </c>
      <c r="L10" s="219" t="s">
        <v>5</v>
      </c>
      <c r="M10" s="180" t="s">
        <v>5</v>
      </c>
      <c r="N10" s="120" t="s">
        <v>5</v>
      </c>
      <c r="O10" s="219" t="s">
        <v>5</v>
      </c>
      <c r="P10" s="180" t="s">
        <v>5</v>
      </c>
      <c r="Q10" s="120" t="s">
        <v>5</v>
      </c>
      <c r="R10" s="219" t="s">
        <v>5</v>
      </c>
      <c r="S10" s="180" t="s">
        <v>5</v>
      </c>
      <c r="T10" s="188" t="s">
        <v>5</v>
      </c>
      <c r="U10" s="61" t="s">
        <v>5</v>
      </c>
      <c r="V10" s="238" t="s">
        <v>5</v>
      </c>
      <c r="W10" s="40" t="str">
        <f t="shared" si="0"/>
        <v/>
      </c>
    </row>
    <row r="11" spans="1:23" ht="15.75" customHeight="1">
      <c r="A11" s="235" t="s">
        <v>22</v>
      </c>
      <c r="B11" s="253">
        <v>2</v>
      </c>
      <c r="C11" s="266" t="s">
        <v>7</v>
      </c>
      <c r="D11" s="255" t="s">
        <v>5</v>
      </c>
      <c r="E11" s="135">
        <f>0.065*100</f>
        <v>6.5</v>
      </c>
      <c r="F11" s="133">
        <v>0</v>
      </c>
      <c r="G11" s="134">
        <f>1296288/12</f>
        <v>108024</v>
      </c>
      <c r="H11" s="120" t="s">
        <v>5</v>
      </c>
      <c r="I11" s="219" t="s">
        <v>5</v>
      </c>
      <c r="J11" s="180" t="s">
        <v>5</v>
      </c>
      <c r="K11" s="120" t="s">
        <v>5</v>
      </c>
      <c r="L11" s="219" t="s">
        <v>5</v>
      </c>
      <c r="M11" s="180" t="s">
        <v>5</v>
      </c>
      <c r="N11" s="120" t="s">
        <v>5</v>
      </c>
      <c r="O11" s="219" t="s">
        <v>5</v>
      </c>
      <c r="P11" s="180" t="s">
        <v>5</v>
      </c>
      <c r="Q11" s="120" t="s">
        <v>5</v>
      </c>
      <c r="R11" s="219" t="s">
        <v>5</v>
      </c>
      <c r="S11" s="180" t="s">
        <v>5</v>
      </c>
      <c r="T11" s="189">
        <f>G11*(E11/100)</f>
        <v>7021.56</v>
      </c>
      <c r="U11" s="61" t="s">
        <v>5</v>
      </c>
      <c r="V11" s="238" t="s">
        <v>5</v>
      </c>
      <c r="W11" s="40" t="str">
        <f t="shared" si="0"/>
        <v/>
      </c>
    </row>
    <row r="12" spans="1:23" ht="15.75" customHeight="1">
      <c r="A12" s="235" t="s">
        <v>67</v>
      </c>
      <c r="B12" s="253">
        <v>1</v>
      </c>
      <c r="C12" s="267" t="s">
        <v>8</v>
      </c>
      <c r="D12" s="256">
        <f>94.65*12</f>
        <v>1135.8000000000002</v>
      </c>
      <c r="E12" s="207" t="s">
        <v>5</v>
      </c>
      <c r="F12" s="219" t="s">
        <v>5</v>
      </c>
      <c r="G12" s="142" t="s">
        <v>5</v>
      </c>
      <c r="H12" s="121" t="s">
        <v>5</v>
      </c>
      <c r="I12" s="218" t="s">
        <v>5</v>
      </c>
      <c r="J12" s="142" t="s">
        <v>5</v>
      </c>
      <c r="K12" s="121" t="s">
        <v>5</v>
      </c>
      <c r="L12" s="218" t="s">
        <v>5</v>
      </c>
      <c r="M12" s="142" t="s">
        <v>5</v>
      </c>
      <c r="N12" s="121" t="s">
        <v>5</v>
      </c>
      <c r="O12" s="218" t="s">
        <v>5</v>
      </c>
      <c r="P12" s="142" t="s">
        <v>5</v>
      </c>
      <c r="Q12" s="121" t="s">
        <v>5</v>
      </c>
      <c r="R12" s="218" t="s">
        <v>5</v>
      </c>
      <c r="S12" s="142" t="s">
        <v>5</v>
      </c>
      <c r="T12" s="188" t="s">
        <v>5</v>
      </c>
      <c r="U12" s="62" t="s">
        <v>6</v>
      </c>
      <c r="V12" s="237">
        <v>100</v>
      </c>
      <c r="W12" s="40" t="str">
        <f t="shared" si="0"/>
        <v>A</v>
      </c>
    </row>
    <row r="13" spans="1:23" ht="15.75" customHeight="1">
      <c r="A13" s="235" t="s">
        <v>58</v>
      </c>
      <c r="B13" s="253">
        <v>1</v>
      </c>
      <c r="C13" s="267" t="s">
        <v>7</v>
      </c>
      <c r="D13" s="254" t="s">
        <v>5</v>
      </c>
      <c r="E13" s="143">
        <f>0.016*100</f>
        <v>1.6</v>
      </c>
      <c r="F13" s="219" t="s">
        <v>5</v>
      </c>
      <c r="G13" s="142" t="s">
        <v>5</v>
      </c>
      <c r="H13" s="121" t="s">
        <v>5</v>
      </c>
      <c r="I13" s="218" t="s">
        <v>5</v>
      </c>
      <c r="J13" s="142" t="s">
        <v>5</v>
      </c>
      <c r="K13" s="121" t="s">
        <v>5</v>
      </c>
      <c r="L13" s="218" t="s">
        <v>5</v>
      </c>
      <c r="M13" s="142" t="s">
        <v>5</v>
      </c>
      <c r="N13" s="121" t="s">
        <v>5</v>
      </c>
      <c r="O13" s="218" t="s">
        <v>5</v>
      </c>
      <c r="P13" s="142" t="s">
        <v>5</v>
      </c>
      <c r="Q13" s="121" t="s">
        <v>5</v>
      </c>
      <c r="R13" s="218" t="s">
        <v>5</v>
      </c>
      <c r="S13" s="142" t="s">
        <v>5</v>
      </c>
      <c r="T13" s="188" t="s">
        <v>5</v>
      </c>
      <c r="U13" s="62" t="s">
        <v>6</v>
      </c>
      <c r="V13" s="236">
        <v>100</v>
      </c>
      <c r="W13" s="40" t="str">
        <f t="shared" si="0"/>
        <v>A</v>
      </c>
    </row>
    <row r="14" spans="1:23" ht="15.75" customHeight="1">
      <c r="A14" s="235" t="s">
        <v>56</v>
      </c>
      <c r="B14" s="253">
        <v>1</v>
      </c>
      <c r="C14" s="267" t="s">
        <v>10</v>
      </c>
      <c r="D14" s="257" t="s">
        <v>5</v>
      </c>
      <c r="E14" s="143">
        <f>0.013*100</f>
        <v>1.3</v>
      </c>
      <c r="F14" s="219" t="s">
        <v>5</v>
      </c>
      <c r="G14" s="140" t="s">
        <v>5</v>
      </c>
      <c r="H14" s="121" t="s">
        <v>5</v>
      </c>
      <c r="I14" s="218" t="s">
        <v>5</v>
      </c>
      <c r="J14" s="142" t="s">
        <v>5</v>
      </c>
      <c r="K14" s="121" t="s">
        <v>5</v>
      </c>
      <c r="L14" s="218" t="s">
        <v>5</v>
      </c>
      <c r="M14" s="142" t="s">
        <v>5</v>
      </c>
      <c r="N14" s="121" t="s">
        <v>5</v>
      </c>
      <c r="O14" s="218" t="s">
        <v>5</v>
      </c>
      <c r="P14" s="142" t="s">
        <v>5</v>
      </c>
      <c r="Q14" s="121" t="s">
        <v>5</v>
      </c>
      <c r="R14" s="218" t="s">
        <v>5</v>
      </c>
      <c r="S14" s="142" t="s">
        <v>5</v>
      </c>
      <c r="T14" s="189" t="s">
        <v>5</v>
      </c>
      <c r="U14" s="62" t="s">
        <v>5</v>
      </c>
      <c r="V14" s="236" t="s">
        <v>5</v>
      </c>
      <c r="W14" s="40" t="str">
        <f t="shared" si="0"/>
        <v/>
      </c>
    </row>
    <row r="15" spans="1:23" ht="15.75" customHeight="1">
      <c r="A15" s="235" t="s">
        <v>56</v>
      </c>
      <c r="B15" s="253">
        <v>2</v>
      </c>
      <c r="C15" s="267" t="s">
        <v>8</v>
      </c>
      <c r="D15" s="257" t="s">
        <v>5</v>
      </c>
      <c r="E15" s="143">
        <f>0.0767*100</f>
        <v>7.6700000000000008</v>
      </c>
      <c r="F15" s="219" t="s">
        <v>5</v>
      </c>
      <c r="G15" s="140" t="s">
        <v>5</v>
      </c>
      <c r="H15" s="121" t="s">
        <v>5</v>
      </c>
      <c r="I15" s="218" t="s">
        <v>5</v>
      </c>
      <c r="J15" s="142" t="s">
        <v>5</v>
      </c>
      <c r="K15" s="121" t="s">
        <v>5</v>
      </c>
      <c r="L15" s="218" t="s">
        <v>5</v>
      </c>
      <c r="M15" s="142" t="s">
        <v>5</v>
      </c>
      <c r="N15" s="121" t="s">
        <v>5</v>
      </c>
      <c r="O15" s="218" t="s">
        <v>5</v>
      </c>
      <c r="P15" s="142" t="s">
        <v>5</v>
      </c>
      <c r="Q15" s="121" t="s">
        <v>5</v>
      </c>
      <c r="R15" s="218" t="s">
        <v>5</v>
      </c>
      <c r="S15" s="142" t="s">
        <v>5</v>
      </c>
      <c r="T15" s="189" t="s">
        <v>5</v>
      </c>
      <c r="U15" s="62" t="s">
        <v>6</v>
      </c>
      <c r="V15" s="236">
        <v>100</v>
      </c>
      <c r="W15" s="40" t="str">
        <f t="shared" si="0"/>
        <v>A</v>
      </c>
    </row>
    <row r="16" spans="1:23" ht="15.75" customHeight="1">
      <c r="A16" s="235" t="s">
        <v>48</v>
      </c>
      <c r="B16" s="253">
        <v>1</v>
      </c>
      <c r="C16" s="267" t="s">
        <v>8</v>
      </c>
      <c r="D16" s="254" t="s">
        <v>5</v>
      </c>
      <c r="E16" s="143">
        <f>(0.069+0.0075+0.024+0.039+0.0035)*100</f>
        <v>14.3</v>
      </c>
      <c r="F16" s="133">
        <v>0</v>
      </c>
      <c r="G16" s="134">
        <v>38616</v>
      </c>
      <c r="H16" s="143">
        <f>(0.0075+0.024+0.09+0.0035)*100</f>
        <v>12.5</v>
      </c>
      <c r="I16" s="133">
        <f>G16</f>
        <v>38616</v>
      </c>
      <c r="J16" s="134">
        <f>3*G16</f>
        <v>115848</v>
      </c>
      <c r="K16" s="143">
        <f>(0.0075+0.024+0.0035)*100</f>
        <v>3.5000000000000004</v>
      </c>
      <c r="L16" s="133">
        <f>J16</f>
        <v>115848</v>
      </c>
      <c r="M16" s="134">
        <f>4*G16</f>
        <v>154464</v>
      </c>
      <c r="N16" s="143">
        <f>(0.0075+0.0035)*100</f>
        <v>1.0999999999999999</v>
      </c>
      <c r="O16" s="133">
        <f>M16</f>
        <v>154464</v>
      </c>
      <c r="P16" s="180" t="s">
        <v>5</v>
      </c>
      <c r="Q16" s="120" t="s">
        <v>5</v>
      </c>
      <c r="R16" s="219" t="s">
        <v>5</v>
      </c>
      <c r="S16" s="180" t="s">
        <v>5</v>
      </c>
      <c r="T16" s="188" t="s">
        <v>5</v>
      </c>
      <c r="U16" s="62" t="s">
        <v>6</v>
      </c>
      <c r="V16" s="236">
        <v>100</v>
      </c>
      <c r="W16" s="40" t="str">
        <f t="shared" si="0"/>
        <v>A</v>
      </c>
    </row>
    <row r="17" spans="1:23" ht="15.75" customHeight="1">
      <c r="A17" s="235" t="s">
        <v>54</v>
      </c>
      <c r="B17" s="253">
        <v>1</v>
      </c>
      <c r="C17" s="267" t="s">
        <v>8</v>
      </c>
      <c r="D17" s="254" t="s">
        <v>5</v>
      </c>
      <c r="E17" s="143">
        <f>(0.0935+0.084+0.015+0.01175)*100</f>
        <v>20.425000000000001</v>
      </c>
      <c r="F17" s="133">
        <v>0</v>
      </c>
      <c r="G17" s="134">
        <v>50850</v>
      </c>
      <c r="H17" s="143">
        <f>(0.0935+0.015)*100</f>
        <v>10.85</v>
      </c>
      <c r="I17" s="133">
        <f>G17</f>
        <v>50850</v>
      </c>
      <c r="J17" s="134">
        <v>74400</v>
      </c>
      <c r="K17" s="120" t="s">
        <v>5</v>
      </c>
      <c r="L17" s="219" t="s">
        <v>5</v>
      </c>
      <c r="M17" s="180" t="s">
        <v>5</v>
      </c>
      <c r="N17" s="120" t="s">
        <v>5</v>
      </c>
      <c r="O17" s="219" t="s">
        <v>5</v>
      </c>
      <c r="P17" s="180" t="s">
        <v>5</v>
      </c>
      <c r="Q17" s="120" t="s">
        <v>5</v>
      </c>
      <c r="R17" s="219" t="s">
        <v>5</v>
      </c>
      <c r="S17" s="180" t="s">
        <v>5</v>
      </c>
      <c r="T17" s="189">
        <f>(G17-F17)*E17/100 + (J17-I17)*H17/100</f>
        <v>12941.287499999999</v>
      </c>
      <c r="U17" s="62" t="s">
        <v>6</v>
      </c>
      <c r="V17" s="237" t="s">
        <v>218</v>
      </c>
      <c r="W17" s="40" t="str">
        <f t="shared" si="0"/>
        <v>A</v>
      </c>
    </row>
    <row r="18" spans="1:23" ht="15.75" customHeight="1">
      <c r="A18" s="235" t="s">
        <v>53</v>
      </c>
      <c r="B18" s="253">
        <v>1</v>
      </c>
      <c r="C18" s="267" t="s">
        <v>7</v>
      </c>
      <c r="D18" s="257" t="s">
        <v>5</v>
      </c>
      <c r="E18" s="143">
        <f>(((0.155*5)+(0.16*7))/12)*100</f>
        <v>15.791666666666668</v>
      </c>
      <c r="F18" s="133">
        <v>0</v>
      </c>
      <c r="G18" s="134">
        <f>77655.2/14</f>
        <v>5546.8</v>
      </c>
      <c r="H18" s="120" t="s">
        <v>5</v>
      </c>
      <c r="I18" s="219" t="s">
        <v>5</v>
      </c>
      <c r="J18" s="180" t="s">
        <v>5</v>
      </c>
      <c r="K18" s="120" t="s">
        <v>5</v>
      </c>
      <c r="L18" s="219" t="s">
        <v>5</v>
      </c>
      <c r="M18" s="180" t="s">
        <v>5</v>
      </c>
      <c r="N18" s="120" t="s">
        <v>5</v>
      </c>
      <c r="O18" s="219" t="s">
        <v>5</v>
      </c>
      <c r="P18" s="180" t="s">
        <v>5</v>
      </c>
      <c r="Q18" s="120" t="s">
        <v>5</v>
      </c>
      <c r="R18" s="219" t="s">
        <v>5</v>
      </c>
      <c r="S18" s="180" t="s">
        <v>5</v>
      </c>
      <c r="T18" s="189">
        <f>G18*E18/100</f>
        <v>875.93216666666672</v>
      </c>
      <c r="U18" s="62" t="s">
        <v>6</v>
      </c>
      <c r="V18" s="236">
        <v>100</v>
      </c>
      <c r="W18" s="40" t="str">
        <f t="shared" si="0"/>
        <v>A</v>
      </c>
    </row>
    <row r="19" spans="1:23" ht="15.75" customHeight="1">
      <c r="A19" s="235" t="s">
        <v>23</v>
      </c>
      <c r="B19" s="253">
        <v>1</v>
      </c>
      <c r="C19" s="267" t="s">
        <v>8</v>
      </c>
      <c r="D19" s="254" t="s">
        <v>5</v>
      </c>
      <c r="E19" s="143">
        <f>(0.015+0.07+0.1)*100</f>
        <v>18.5</v>
      </c>
      <c r="F19" s="219" t="s">
        <v>5</v>
      </c>
      <c r="G19" s="134" t="s">
        <v>5</v>
      </c>
      <c r="H19" s="120" t="s">
        <v>5</v>
      </c>
      <c r="I19" s="219" t="s">
        <v>5</v>
      </c>
      <c r="J19" s="180" t="s">
        <v>5</v>
      </c>
      <c r="K19" s="120" t="s">
        <v>5</v>
      </c>
      <c r="L19" s="219" t="s">
        <v>5</v>
      </c>
      <c r="M19" s="180" t="s">
        <v>5</v>
      </c>
      <c r="N19" s="120" t="s">
        <v>5</v>
      </c>
      <c r="O19" s="219" t="s">
        <v>5</v>
      </c>
      <c r="P19" s="180" t="s">
        <v>5</v>
      </c>
      <c r="Q19" s="120" t="s">
        <v>5</v>
      </c>
      <c r="R19" s="219" t="s">
        <v>5</v>
      </c>
      <c r="S19" s="180" t="s">
        <v>5</v>
      </c>
      <c r="T19" s="188" t="s">
        <v>5</v>
      </c>
      <c r="U19" s="239" t="s">
        <v>5</v>
      </c>
      <c r="V19" s="237" t="s">
        <v>5</v>
      </c>
      <c r="W19" s="40" t="str">
        <f t="shared" si="0"/>
        <v/>
      </c>
    </row>
    <row r="20" spans="1:23" ht="15.75" customHeight="1">
      <c r="A20" s="235" t="s">
        <v>68</v>
      </c>
      <c r="B20" s="253">
        <v>1</v>
      </c>
      <c r="C20" s="266" t="s">
        <v>6</v>
      </c>
      <c r="D20" s="256">
        <v>27756</v>
      </c>
      <c r="E20" s="143" t="s">
        <v>24</v>
      </c>
      <c r="F20" s="133">
        <v>1678001.6159439809</v>
      </c>
      <c r="G20" s="134" t="s">
        <v>24</v>
      </c>
      <c r="H20" s="120" t="s">
        <v>5</v>
      </c>
      <c r="I20" s="219" t="s">
        <v>5</v>
      </c>
      <c r="J20" s="180" t="s">
        <v>5</v>
      </c>
      <c r="K20" s="120" t="s">
        <v>5</v>
      </c>
      <c r="L20" s="219" t="s">
        <v>5</v>
      </c>
      <c r="M20" s="180" t="s">
        <v>5</v>
      </c>
      <c r="N20" s="120" t="s">
        <v>5</v>
      </c>
      <c r="O20" s="219" t="s">
        <v>5</v>
      </c>
      <c r="P20" s="180" t="s">
        <v>5</v>
      </c>
      <c r="Q20" s="120" t="s">
        <v>5</v>
      </c>
      <c r="R20" s="219" t="s">
        <v>5</v>
      </c>
      <c r="S20" s="180" t="s">
        <v>5</v>
      </c>
      <c r="T20" s="189" t="s">
        <v>24</v>
      </c>
      <c r="U20" s="67" t="s">
        <v>5</v>
      </c>
      <c r="V20" s="237" t="s">
        <v>5</v>
      </c>
      <c r="W20" s="40" t="str">
        <f t="shared" si="0"/>
        <v/>
      </c>
    </row>
    <row r="21" spans="1:23" ht="15.75" customHeight="1">
      <c r="A21" s="235" t="s">
        <v>68</v>
      </c>
      <c r="B21" s="253">
        <v>2</v>
      </c>
      <c r="C21" s="266" t="s">
        <v>8</v>
      </c>
      <c r="D21" s="258" t="s">
        <v>5</v>
      </c>
      <c r="E21" s="143">
        <f>(0.04+0.04)*100</f>
        <v>8</v>
      </c>
      <c r="F21" s="133" t="s">
        <v>5</v>
      </c>
      <c r="G21" s="134" t="s">
        <v>5</v>
      </c>
      <c r="H21" s="120" t="s">
        <v>5</v>
      </c>
      <c r="I21" s="219" t="s">
        <v>5</v>
      </c>
      <c r="J21" s="180" t="s">
        <v>5</v>
      </c>
      <c r="K21" s="120" t="s">
        <v>5</v>
      </c>
      <c r="L21" s="219" t="s">
        <v>5</v>
      </c>
      <c r="M21" s="180" t="s">
        <v>5</v>
      </c>
      <c r="N21" s="120" t="s">
        <v>5</v>
      </c>
      <c r="O21" s="219" t="s">
        <v>5</v>
      </c>
      <c r="P21" s="180" t="s">
        <v>5</v>
      </c>
      <c r="Q21" s="120" t="s">
        <v>5</v>
      </c>
      <c r="R21" s="219" t="s">
        <v>5</v>
      </c>
      <c r="S21" s="180" t="s">
        <v>5</v>
      </c>
      <c r="T21" s="188" t="s">
        <v>5</v>
      </c>
      <c r="U21" s="62" t="s">
        <v>6</v>
      </c>
      <c r="V21" s="236">
        <v>100</v>
      </c>
      <c r="W21" s="40" t="str">
        <f t="shared" si="0"/>
        <v>A</v>
      </c>
    </row>
    <row r="22" spans="1:23" ht="15.75" customHeight="1">
      <c r="A22" s="235" t="s">
        <v>92</v>
      </c>
      <c r="B22" s="253">
        <v>1</v>
      </c>
      <c r="C22" s="267" t="s">
        <v>8</v>
      </c>
      <c r="D22" s="258" t="s">
        <v>5</v>
      </c>
      <c r="E22" s="143">
        <f>0.04*100</f>
        <v>4</v>
      </c>
      <c r="F22" s="220" t="s">
        <v>77</v>
      </c>
      <c r="G22" s="142" t="s">
        <v>5</v>
      </c>
      <c r="H22" s="121" t="s">
        <v>5</v>
      </c>
      <c r="I22" s="218" t="s">
        <v>5</v>
      </c>
      <c r="J22" s="142" t="s">
        <v>5</v>
      </c>
      <c r="K22" s="121" t="s">
        <v>5</v>
      </c>
      <c r="L22" s="218" t="s">
        <v>5</v>
      </c>
      <c r="M22" s="142" t="s">
        <v>5</v>
      </c>
      <c r="N22" s="121" t="s">
        <v>5</v>
      </c>
      <c r="O22" s="218" t="s">
        <v>5</v>
      </c>
      <c r="P22" s="142" t="s">
        <v>5</v>
      </c>
      <c r="Q22" s="121" t="s">
        <v>5</v>
      </c>
      <c r="R22" s="218" t="s">
        <v>5</v>
      </c>
      <c r="S22" s="142" t="s">
        <v>5</v>
      </c>
      <c r="T22" s="188" t="s">
        <v>5</v>
      </c>
      <c r="U22" s="35" t="s">
        <v>5</v>
      </c>
      <c r="V22" s="240" t="s">
        <v>5</v>
      </c>
      <c r="W22" s="40" t="str">
        <f t="shared" si="0"/>
        <v/>
      </c>
    </row>
    <row r="23" spans="1:23" ht="15.75" customHeight="1">
      <c r="A23" s="235" t="s">
        <v>69</v>
      </c>
      <c r="B23" s="253">
        <v>1</v>
      </c>
      <c r="C23" s="267" t="s">
        <v>7</v>
      </c>
      <c r="D23" s="254" t="s">
        <v>5</v>
      </c>
      <c r="E23" s="143">
        <f>0.035*100</f>
        <v>3.5000000000000004</v>
      </c>
      <c r="F23" s="133">
        <v>0</v>
      </c>
      <c r="G23" s="140">
        <f>68136/12</f>
        <v>5678</v>
      </c>
      <c r="H23" s="143">
        <v>12</v>
      </c>
      <c r="I23" s="139">
        <f>G23</f>
        <v>5678</v>
      </c>
      <c r="J23" s="140">
        <f>518880/12</f>
        <v>43240</v>
      </c>
      <c r="K23" s="121" t="s">
        <v>5</v>
      </c>
      <c r="L23" s="218" t="s">
        <v>5</v>
      </c>
      <c r="M23" s="142" t="s">
        <v>5</v>
      </c>
      <c r="N23" s="121" t="s">
        <v>5</v>
      </c>
      <c r="O23" s="218" t="s">
        <v>5</v>
      </c>
      <c r="P23" s="142" t="s">
        <v>5</v>
      </c>
      <c r="Q23" s="121" t="s">
        <v>5</v>
      </c>
      <c r="R23" s="218" t="s">
        <v>5</v>
      </c>
      <c r="S23" s="142" t="s">
        <v>5</v>
      </c>
      <c r="T23" s="189">
        <f>+E23/100*G23+H23/100*(J23-I23)</f>
        <v>4706.17</v>
      </c>
      <c r="U23" s="67" t="s">
        <v>5</v>
      </c>
      <c r="V23" s="237" t="s">
        <v>5</v>
      </c>
      <c r="W23" s="40" t="str">
        <f t="shared" si="0"/>
        <v/>
      </c>
    </row>
    <row r="24" spans="1:23" ht="15.75" customHeight="1">
      <c r="A24" s="235" t="s">
        <v>13</v>
      </c>
      <c r="B24" s="253">
        <v>1</v>
      </c>
      <c r="C24" s="267" t="s">
        <v>8</v>
      </c>
      <c r="D24" s="254" t="s">
        <v>5</v>
      </c>
      <c r="E24" s="143">
        <v>9.49</v>
      </c>
      <c r="F24" s="133">
        <v>0</v>
      </c>
      <c r="G24" s="140">
        <v>46123</v>
      </c>
      <c r="H24" s="143">
        <v>10.49</v>
      </c>
      <c r="I24" s="139">
        <f>G24</f>
        <v>46123</v>
      </c>
      <c r="J24" s="140">
        <v>100324</v>
      </c>
      <c r="K24" s="121" t="s">
        <v>5</v>
      </c>
      <c r="L24" s="218" t="s">
        <v>5</v>
      </c>
      <c r="M24" s="142" t="s">
        <v>5</v>
      </c>
      <c r="N24" s="121" t="s">
        <v>5</v>
      </c>
      <c r="O24" s="218" t="s">
        <v>5</v>
      </c>
      <c r="P24" s="142" t="s">
        <v>5</v>
      </c>
      <c r="Q24" s="121" t="s">
        <v>5</v>
      </c>
      <c r="R24" s="218" t="s">
        <v>5</v>
      </c>
      <c r="S24" s="142" t="s">
        <v>5</v>
      </c>
      <c r="T24" s="189">
        <f>((E24/100)*G24)+(H24/100)*(J24-I24)</f>
        <v>10062.757600000001</v>
      </c>
      <c r="U24" s="241" t="s">
        <v>6</v>
      </c>
      <c r="V24" s="237">
        <v>100</v>
      </c>
      <c r="W24" s="40" t="str">
        <f t="shared" si="0"/>
        <v>A</v>
      </c>
    </row>
    <row r="25" spans="1:23" ht="15.75" customHeight="1">
      <c r="A25" s="235" t="s">
        <v>14</v>
      </c>
      <c r="B25" s="253">
        <v>1</v>
      </c>
      <c r="C25" s="267" t="s">
        <v>7</v>
      </c>
      <c r="D25" s="257" t="s">
        <v>5</v>
      </c>
      <c r="E25" s="143">
        <f>(0.0897267+0.05+0.004)*100</f>
        <v>14.372670000000001</v>
      </c>
      <c r="F25" s="133">
        <v>0</v>
      </c>
      <c r="G25" s="140">
        <f>7440000/12</f>
        <v>620000</v>
      </c>
      <c r="H25" s="143">
        <f>(0.05+0.004)*100</f>
        <v>5.4</v>
      </c>
      <c r="I25" s="139">
        <f>G25</f>
        <v>620000</v>
      </c>
      <c r="J25" s="140">
        <v>16680000</v>
      </c>
      <c r="K25" s="143">
        <f>0.004*100</f>
        <v>0.4</v>
      </c>
      <c r="L25" s="139">
        <f>J25</f>
        <v>16680000</v>
      </c>
      <c r="M25" s="180" t="s">
        <v>5</v>
      </c>
      <c r="N25" s="121" t="s">
        <v>5</v>
      </c>
      <c r="O25" s="218" t="s">
        <v>5</v>
      </c>
      <c r="P25" s="142" t="s">
        <v>5</v>
      </c>
      <c r="Q25" s="121" t="s">
        <v>5</v>
      </c>
      <c r="R25" s="218" t="s">
        <v>5</v>
      </c>
      <c r="S25" s="142" t="s">
        <v>5</v>
      </c>
      <c r="T25" s="189" t="s">
        <v>5</v>
      </c>
      <c r="U25" s="62" t="s">
        <v>6</v>
      </c>
      <c r="V25" s="236">
        <v>100</v>
      </c>
      <c r="W25" s="40" t="str">
        <f t="shared" si="0"/>
        <v>A</v>
      </c>
    </row>
    <row r="26" spans="1:23" ht="15.75" customHeight="1">
      <c r="A26" s="235" t="s">
        <v>15</v>
      </c>
      <c r="B26" s="253">
        <v>1</v>
      </c>
      <c r="C26" s="266" t="s">
        <v>7</v>
      </c>
      <c r="D26" s="254" t="s">
        <v>5</v>
      </c>
      <c r="E26" s="143">
        <f>(0.045*100)+H26</f>
        <v>8.4104229999999998</v>
      </c>
      <c r="F26" s="133">
        <v>0</v>
      </c>
      <c r="G26" s="140">
        <f>(2343600/0.045)/12</f>
        <v>4340000</v>
      </c>
      <c r="H26" s="143">
        <f>(0.03260423*100)+K26</f>
        <v>3.9104229999999998</v>
      </c>
      <c r="I26" s="133">
        <f>G26</f>
        <v>4340000</v>
      </c>
      <c r="J26" s="140">
        <f>(30556679.7/0.03260423)/12</f>
        <v>78099988.099703625</v>
      </c>
      <c r="K26" s="208">
        <f>0.0065*100</f>
        <v>0.65</v>
      </c>
      <c r="L26" s="133">
        <f>J26</f>
        <v>78099988.099703625</v>
      </c>
      <c r="M26" s="142" t="s">
        <v>5</v>
      </c>
      <c r="N26" s="121" t="s">
        <v>5</v>
      </c>
      <c r="O26" s="218" t="s">
        <v>5</v>
      </c>
      <c r="P26" s="142" t="s">
        <v>5</v>
      </c>
      <c r="Q26" s="121" t="s">
        <v>5</v>
      </c>
      <c r="R26" s="218" t="s">
        <v>5</v>
      </c>
      <c r="S26" s="142" t="s">
        <v>5</v>
      </c>
      <c r="T26" s="188" t="s">
        <v>5</v>
      </c>
      <c r="U26" s="62" t="s">
        <v>6</v>
      </c>
      <c r="V26" s="236">
        <v>100</v>
      </c>
      <c r="W26" s="40" t="str">
        <f t="shared" si="0"/>
        <v>A</v>
      </c>
    </row>
    <row r="27" spans="1:23">
      <c r="A27" s="513" t="s">
        <v>282</v>
      </c>
      <c r="B27" s="500">
        <v>1</v>
      </c>
      <c r="C27" s="30" t="s">
        <v>8</v>
      </c>
      <c r="D27" s="502" t="s">
        <v>5</v>
      </c>
      <c r="E27" s="503">
        <v>10.5</v>
      </c>
      <c r="F27" s="400">
        <v>0</v>
      </c>
      <c r="G27" s="396">
        <v>48600</v>
      </c>
      <c r="H27" s="501"/>
      <c r="I27" s="504"/>
      <c r="J27" s="505"/>
      <c r="K27" s="501"/>
      <c r="L27" s="504"/>
      <c r="M27" s="505"/>
      <c r="N27" s="506"/>
      <c r="O27" s="504"/>
      <c r="P27" s="505"/>
      <c r="Q27" s="506"/>
      <c r="R27" s="504"/>
      <c r="S27" s="505"/>
      <c r="T27" s="507">
        <f>(E27/100)*G27</f>
        <v>5103</v>
      </c>
      <c r="U27" s="62" t="s">
        <v>6</v>
      </c>
      <c r="V27" s="375">
        <v>100</v>
      </c>
      <c r="W27" s="30" t="str">
        <f t="shared" si="0"/>
        <v>A</v>
      </c>
    </row>
    <row r="28" spans="1:23" ht="15.75" customHeight="1">
      <c r="A28" s="235" t="s">
        <v>70</v>
      </c>
      <c r="B28" s="253">
        <v>1</v>
      </c>
      <c r="C28" s="267" t="s">
        <v>8</v>
      </c>
      <c r="D28" s="254" t="s">
        <v>5</v>
      </c>
      <c r="E28" s="143">
        <f>0.1105*100</f>
        <v>11.05</v>
      </c>
      <c r="F28" s="133">
        <v>0</v>
      </c>
      <c r="G28" s="134">
        <v>115377.84</v>
      </c>
      <c r="H28" s="120" t="s">
        <v>5</v>
      </c>
      <c r="I28" s="219" t="s">
        <v>5</v>
      </c>
      <c r="J28" s="180" t="s">
        <v>5</v>
      </c>
      <c r="K28" s="120" t="s">
        <v>5</v>
      </c>
      <c r="L28" s="219" t="s">
        <v>5</v>
      </c>
      <c r="M28" s="180" t="s">
        <v>5</v>
      </c>
      <c r="N28" s="120" t="s">
        <v>5</v>
      </c>
      <c r="O28" s="219" t="s">
        <v>5</v>
      </c>
      <c r="P28" s="180" t="s">
        <v>5</v>
      </c>
      <c r="Q28" s="120" t="s">
        <v>5</v>
      </c>
      <c r="R28" s="219" t="s">
        <v>5</v>
      </c>
      <c r="S28" s="180" t="s">
        <v>5</v>
      </c>
      <c r="T28" s="189">
        <f>+G28*E28/100</f>
        <v>12749.251319999999</v>
      </c>
      <c r="U28" s="61" t="s">
        <v>6</v>
      </c>
      <c r="V28" s="238">
        <v>100</v>
      </c>
      <c r="W28" s="40" t="str">
        <f t="shared" si="0"/>
        <v>A</v>
      </c>
    </row>
    <row r="29" spans="1:23" ht="15.75" customHeight="1">
      <c r="A29" s="235" t="s">
        <v>70</v>
      </c>
      <c r="B29" s="253">
        <v>2</v>
      </c>
      <c r="C29" s="267" t="s">
        <v>8</v>
      </c>
      <c r="D29" s="255" t="s">
        <v>5</v>
      </c>
      <c r="E29" s="143">
        <f>0.014*100</f>
        <v>1.4000000000000001</v>
      </c>
      <c r="F29" s="133">
        <f>0.25*23075.52</f>
        <v>5768.88</v>
      </c>
      <c r="G29" s="134" t="s">
        <v>29</v>
      </c>
      <c r="H29" s="120" t="s">
        <v>5</v>
      </c>
      <c r="I29" s="219" t="s">
        <v>5</v>
      </c>
      <c r="J29" s="180" t="s">
        <v>5</v>
      </c>
      <c r="K29" s="120" t="s">
        <v>5</v>
      </c>
      <c r="L29" s="219" t="s">
        <v>5</v>
      </c>
      <c r="M29" s="180" t="s">
        <v>5</v>
      </c>
      <c r="N29" s="120" t="s">
        <v>5</v>
      </c>
      <c r="O29" s="219" t="s">
        <v>5</v>
      </c>
      <c r="P29" s="180" t="s">
        <v>5</v>
      </c>
      <c r="Q29" s="120" t="s">
        <v>5</v>
      </c>
      <c r="R29" s="219" t="s">
        <v>5</v>
      </c>
      <c r="S29" s="180" t="s">
        <v>5</v>
      </c>
      <c r="T29" s="189" t="s">
        <v>5</v>
      </c>
      <c r="U29" s="66" t="s">
        <v>5</v>
      </c>
      <c r="V29" s="242" t="s">
        <v>5</v>
      </c>
      <c r="W29" s="40" t="str">
        <f t="shared" si="0"/>
        <v/>
      </c>
    </row>
    <row r="30" spans="1:23" ht="15.75" customHeight="1">
      <c r="A30" s="235" t="s">
        <v>71</v>
      </c>
      <c r="B30" s="253">
        <v>1</v>
      </c>
      <c r="C30" s="267" t="s">
        <v>7</v>
      </c>
      <c r="D30" s="257" t="s">
        <v>5</v>
      </c>
      <c r="E30" s="143">
        <f>0.0125*100</f>
        <v>1.25</v>
      </c>
      <c r="F30" s="133">
        <v>0</v>
      </c>
      <c r="G30" s="221">
        <f>3*73.04*(365/12)</f>
        <v>6664.9000000000005</v>
      </c>
      <c r="H30" s="143">
        <f>E30+(0.004*100)</f>
        <v>1.65</v>
      </c>
      <c r="I30" s="220">
        <f>G30</f>
        <v>6664.9000000000005</v>
      </c>
      <c r="J30" s="221">
        <f>25*73.04*(365/12)</f>
        <v>55540.833333333343</v>
      </c>
      <c r="K30" s="174" t="s">
        <v>5</v>
      </c>
      <c r="L30" s="475" t="s">
        <v>5</v>
      </c>
      <c r="M30" s="226" t="s">
        <v>5</v>
      </c>
      <c r="N30" s="174" t="s">
        <v>5</v>
      </c>
      <c r="O30" s="475" t="s">
        <v>5</v>
      </c>
      <c r="P30" s="226" t="s">
        <v>5</v>
      </c>
      <c r="Q30" s="174" t="s">
        <v>5</v>
      </c>
      <c r="R30" s="475" t="s">
        <v>5</v>
      </c>
      <c r="S30" s="226" t="s">
        <v>5</v>
      </c>
      <c r="T30" s="189">
        <f>((E30/100)*G30)+(H30/100)*(J30-I30)</f>
        <v>889.7641500000002</v>
      </c>
      <c r="U30" s="243" t="s">
        <v>5</v>
      </c>
      <c r="V30" s="237" t="s">
        <v>5</v>
      </c>
      <c r="W30" s="40" t="str">
        <f t="shared" si="0"/>
        <v/>
      </c>
    </row>
    <row r="31" spans="1:23" ht="15.75" customHeight="1">
      <c r="A31" s="235" t="s">
        <v>60</v>
      </c>
      <c r="B31" s="253">
        <v>1</v>
      </c>
      <c r="C31" s="266" t="s">
        <v>6</v>
      </c>
      <c r="D31" s="259" t="s">
        <v>5</v>
      </c>
      <c r="E31" s="135">
        <f>(0.179+0.006+0.0965)*100</f>
        <v>28.15</v>
      </c>
      <c r="F31" s="133">
        <v>0</v>
      </c>
      <c r="G31" s="134">
        <v>33715</v>
      </c>
      <c r="H31" s="120" t="s">
        <v>5</v>
      </c>
      <c r="I31" s="219" t="s">
        <v>5</v>
      </c>
      <c r="J31" s="180" t="s">
        <v>5</v>
      </c>
      <c r="K31" s="120" t="s">
        <v>5</v>
      </c>
      <c r="L31" s="219" t="s">
        <v>5</v>
      </c>
      <c r="M31" s="180" t="s">
        <v>5</v>
      </c>
      <c r="N31" s="120" t="s">
        <v>5</v>
      </c>
      <c r="O31" s="219" t="s">
        <v>5</v>
      </c>
      <c r="P31" s="180" t="s">
        <v>5</v>
      </c>
      <c r="Q31" s="120" t="s">
        <v>5</v>
      </c>
      <c r="R31" s="219" t="s">
        <v>5</v>
      </c>
      <c r="S31" s="180" t="s">
        <v>5</v>
      </c>
      <c r="T31" s="189">
        <f>(G31-F31)*E31/100</f>
        <v>9490.7724999999991</v>
      </c>
      <c r="U31" s="61" t="s">
        <v>6</v>
      </c>
      <c r="V31" s="238">
        <v>100</v>
      </c>
      <c r="W31" s="40" t="str">
        <f t="shared" si="0"/>
        <v>A</v>
      </c>
    </row>
    <row r="32" spans="1:23" ht="15.75" customHeight="1">
      <c r="A32" s="235" t="s">
        <v>42</v>
      </c>
      <c r="B32" s="534">
        <v>0</v>
      </c>
      <c r="C32" s="266" t="s">
        <v>250</v>
      </c>
      <c r="D32" s="255" t="s">
        <v>5</v>
      </c>
      <c r="E32" s="135" t="s">
        <v>5</v>
      </c>
      <c r="F32" s="133" t="s">
        <v>5</v>
      </c>
      <c r="G32" s="134" t="s">
        <v>5</v>
      </c>
      <c r="H32" s="120" t="s">
        <v>5</v>
      </c>
      <c r="I32" s="219" t="s">
        <v>5</v>
      </c>
      <c r="J32" s="180" t="s">
        <v>5</v>
      </c>
      <c r="K32" s="120" t="s">
        <v>5</v>
      </c>
      <c r="L32" s="219" t="s">
        <v>5</v>
      </c>
      <c r="M32" s="180" t="s">
        <v>5</v>
      </c>
      <c r="N32" s="120" t="s">
        <v>5</v>
      </c>
      <c r="O32" s="219" t="s">
        <v>5</v>
      </c>
      <c r="P32" s="180" t="s">
        <v>5</v>
      </c>
      <c r="Q32" s="120" t="s">
        <v>5</v>
      </c>
      <c r="R32" s="219" t="s">
        <v>5</v>
      </c>
      <c r="S32" s="180" t="s">
        <v>5</v>
      </c>
      <c r="T32" s="189" t="s">
        <v>5</v>
      </c>
      <c r="U32" s="61" t="s">
        <v>5</v>
      </c>
      <c r="V32" s="238" t="s">
        <v>5</v>
      </c>
      <c r="W32" s="40" t="str">
        <f t="shared" si="0"/>
        <v/>
      </c>
    </row>
    <row r="33" spans="1:23" ht="15.75" customHeight="1">
      <c r="A33" s="235" t="s">
        <v>64</v>
      </c>
      <c r="B33" s="253">
        <v>1</v>
      </c>
      <c r="C33" s="267" t="s">
        <v>8</v>
      </c>
      <c r="D33" s="254" t="s">
        <v>5</v>
      </c>
      <c r="E33" s="143">
        <f>0.082*100</f>
        <v>8.2000000000000011</v>
      </c>
      <c r="F33" s="133" t="s">
        <v>275</v>
      </c>
      <c r="G33" s="134" t="s">
        <v>5</v>
      </c>
      <c r="H33" s="120" t="s">
        <v>5</v>
      </c>
      <c r="I33" s="219" t="s">
        <v>5</v>
      </c>
      <c r="J33" s="180" t="s">
        <v>5</v>
      </c>
      <c r="K33" s="120" t="s">
        <v>5</v>
      </c>
      <c r="L33" s="219" t="s">
        <v>5</v>
      </c>
      <c r="M33" s="180" t="s">
        <v>5</v>
      </c>
      <c r="N33" s="120" t="s">
        <v>5</v>
      </c>
      <c r="O33" s="219" t="s">
        <v>5</v>
      </c>
      <c r="P33" s="180" t="s">
        <v>5</v>
      </c>
      <c r="Q33" s="120" t="s">
        <v>5</v>
      </c>
      <c r="R33" s="219" t="s">
        <v>5</v>
      </c>
      <c r="S33" s="180" t="s">
        <v>5</v>
      </c>
      <c r="T33" s="188" t="s">
        <v>5</v>
      </c>
      <c r="U33" s="67" t="s">
        <v>5</v>
      </c>
      <c r="V33" s="237" t="s">
        <v>5</v>
      </c>
      <c r="W33" s="40" t="str">
        <f t="shared" si="0"/>
        <v/>
      </c>
    </row>
    <row r="34" spans="1:23" ht="15.75" customHeight="1">
      <c r="A34" s="235" t="s">
        <v>72</v>
      </c>
      <c r="B34" s="253">
        <v>1</v>
      </c>
      <c r="C34" s="267" t="s">
        <v>8</v>
      </c>
      <c r="D34" s="254" t="s">
        <v>5</v>
      </c>
      <c r="E34" s="143">
        <f>(0.0611+0.015)*100</f>
        <v>7.61</v>
      </c>
      <c r="F34" s="133">
        <v>0</v>
      </c>
      <c r="G34" s="221">
        <v>121650</v>
      </c>
      <c r="H34" s="143">
        <f>0.0245*100</f>
        <v>2.4500000000000002</v>
      </c>
      <c r="I34" s="220">
        <f>G34</f>
        <v>121650</v>
      </c>
      <c r="J34" s="226" t="s">
        <v>5</v>
      </c>
      <c r="K34" s="174" t="s">
        <v>5</v>
      </c>
      <c r="L34" s="475" t="s">
        <v>5</v>
      </c>
      <c r="M34" s="226" t="s">
        <v>5</v>
      </c>
      <c r="N34" s="174" t="s">
        <v>5</v>
      </c>
      <c r="O34" s="475" t="s">
        <v>5</v>
      </c>
      <c r="P34" s="226" t="s">
        <v>5</v>
      </c>
      <c r="Q34" s="174" t="s">
        <v>5</v>
      </c>
      <c r="R34" s="475" t="s">
        <v>5</v>
      </c>
      <c r="S34" s="226" t="s">
        <v>5</v>
      </c>
      <c r="T34" s="188" t="s">
        <v>5</v>
      </c>
      <c r="U34" s="62" t="s">
        <v>6</v>
      </c>
      <c r="V34" s="236">
        <v>100</v>
      </c>
      <c r="W34" s="40" t="str">
        <f t="shared" si="0"/>
        <v>A</v>
      </c>
    </row>
    <row r="35" spans="1:23" ht="15.75" customHeight="1">
      <c r="A35" s="235" t="s">
        <v>72</v>
      </c>
      <c r="B35" s="253">
        <v>2</v>
      </c>
      <c r="C35" s="267" t="s">
        <v>8</v>
      </c>
      <c r="D35" s="254" t="s">
        <v>5</v>
      </c>
      <c r="E35" s="143">
        <f>0.09*100</f>
        <v>9</v>
      </c>
      <c r="F35" s="224" t="s">
        <v>5</v>
      </c>
      <c r="G35" s="225" t="s">
        <v>5</v>
      </c>
      <c r="H35" s="163" t="s">
        <v>5</v>
      </c>
      <c r="I35" s="395" t="s">
        <v>5</v>
      </c>
      <c r="J35" s="472" t="s">
        <v>5</v>
      </c>
      <c r="K35" s="163" t="s">
        <v>5</v>
      </c>
      <c r="L35" s="395" t="s">
        <v>5</v>
      </c>
      <c r="M35" s="472" t="s">
        <v>5</v>
      </c>
      <c r="N35" s="163" t="s">
        <v>5</v>
      </c>
      <c r="O35" s="395" t="s">
        <v>5</v>
      </c>
      <c r="P35" s="472" t="s">
        <v>5</v>
      </c>
      <c r="Q35" s="163" t="s">
        <v>5</v>
      </c>
      <c r="R35" s="395" t="s">
        <v>5</v>
      </c>
      <c r="S35" s="472" t="s">
        <v>5</v>
      </c>
      <c r="T35" s="188" t="s">
        <v>5</v>
      </c>
      <c r="U35" s="62" t="s">
        <v>6</v>
      </c>
      <c r="V35" s="236">
        <v>100</v>
      </c>
      <c r="W35" s="40" t="str">
        <f t="shared" si="0"/>
        <v>A</v>
      </c>
    </row>
    <row r="36" spans="1:23" ht="15.75" customHeight="1">
      <c r="A36" s="235" t="s">
        <v>17</v>
      </c>
      <c r="B36" s="253">
        <v>1</v>
      </c>
      <c r="C36" s="267" t="s">
        <v>7</v>
      </c>
      <c r="D36" s="254" t="s">
        <v>5</v>
      </c>
      <c r="E36" s="143">
        <f>0.11*100</f>
        <v>11</v>
      </c>
      <c r="F36" s="224" t="s">
        <v>5</v>
      </c>
      <c r="G36" s="225" t="s">
        <v>5</v>
      </c>
      <c r="H36" s="163" t="s">
        <v>5</v>
      </c>
      <c r="I36" s="395" t="s">
        <v>5</v>
      </c>
      <c r="J36" s="472" t="s">
        <v>5</v>
      </c>
      <c r="K36" s="163" t="s">
        <v>5</v>
      </c>
      <c r="L36" s="395" t="s">
        <v>5</v>
      </c>
      <c r="M36" s="472" t="s">
        <v>5</v>
      </c>
      <c r="N36" s="163" t="s">
        <v>5</v>
      </c>
      <c r="O36" s="395" t="s">
        <v>5</v>
      </c>
      <c r="P36" s="472" t="s">
        <v>5</v>
      </c>
      <c r="Q36" s="163" t="s">
        <v>5</v>
      </c>
      <c r="R36" s="395" t="s">
        <v>5</v>
      </c>
      <c r="S36" s="472" t="s">
        <v>5</v>
      </c>
      <c r="T36" s="188" t="s">
        <v>5</v>
      </c>
      <c r="U36" s="62" t="s">
        <v>6</v>
      </c>
      <c r="V36" s="236">
        <v>100</v>
      </c>
      <c r="W36" s="40" t="str">
        <f t="shared" si="0"/>
        <v>A</v>
      </c>
    </row>
    <row r="37" spans="1:23" ht="15.75" customHeight="1">
      <c r="A37" s="235" t="s">
        <v>51</v>
      </c>
      <c r="B37" s="253">
        <v>1</v>
      </c>
      <c r="C37" s="267" t="s">
        <v>7</v>
      </c>
      <c r="D37" s="255" t="s">
        <v>5</v>
      </c>
      <c r="E37" s="143">
        <f>0.094*100</f>
        <v>9.4</v>
      </c>
      <c r="F37" s="133" t="s">
        <v>285</v>
      </c>
      <c r="G37" s="134">
        <f>51480/12</f>
        <v>4290</v>
      </c>
      <c r="H37" s="120" t="s">
        <v>5</v>
      </c>
      <c r="I37" s="219" t="s">
        <v>5</v>
      </c>
      <c r="J37" s="180" t="s">
        <v>5</v>
      </c>
      <c r="K37" s="120" t="s">
        <v>5</v>
      </c>
      <c r="L37" s="219" t="s">
        <v>5</v>
      </c>
      <c r="M37" s="180" t="s">
        <v>5</v>
      </c>
      <c r="N37" s="120" t="s">
        <v>5</v>
      </c>
      <c r="O37" s="219" t="s">
        <v>5</v>
      </c>
      <c r="P37" s="180" t="s">
        <v>5</v>
      </c>
      <c r="Q37" s="120" t="s">
        <v>5</v>
      </c>
      <c r="R37" s="219" t="s">
        <v>5</v>
      </c>
      <c r="S37" s="180" t="s">
        <v>5</v>
      </c>
      <c r="T37" s="188">
        <f>+G37*E37/100</f>
        <v>403.26</v>
      </c>
      <c r="U37" s="61" t="s">
        <v>6</v>
      </c>
      <c r="V37" s="238">
        <v>100</v>
      </c>
      <c r="W37" s="40" t="str">
        <f t="shared" si="0"/>
        <v>A</v>
      </c>
    </row>
    <row r="38" spans="1:23" ht="15.75" customHeight="1">
      <c r="A38" s="235" t="s">
        <v>59</v>
      </c>
      <c r="B38" s="253">
        <v>1</v>
      </c>
      <c r="C38" s="267" t="s">
        <v>7</v>
      </c>
      <c r="D38" s="254" t="s">
        <v>5</v>
      </c>
      <c r="E38" s="143">
        <f>0.221*100</f>
        <v>22.1</v>
      </c>
      <c r="F38" s="224" t="s">
        <v>5</v>
      </c>
      <c r="G38" s="225" t="s">
        <v>5</v>
      </c>
      <c r="H38" s="163" t="s">
        <v>5</v>
      </c>
      <c r="I38" s="395" t="s">
        <v>5</v>
      </c>
      <c r="J38" s="472" t="s">
        <v>5</v>
      </c>
      <c r="K38" s="163" t="s">
        <v>5</v>
      </c>
      <c r="L38" s="395" t="s">
        <v>5</v>
      </c>
      <c r="M38" s="472" t="s">
        <v>5</v>
      </c>
      <c r="N38" s="163" t="s">
        <v>5</v>
      </c>
      <c r="O38" s="395" t="s">
        <v>5</v>
      </c>
      <c r="P38" s="472" t="s">
        <v>5</v>
      </c>
      <c r="Q38" s="163" t="s">
        <v>5</v>
      </c>
      <c r="R38" s="395" t="s">
        <v>5</v>
      </c>
      <c r="S38" s="472" t="s">
        <v>5</v>
      </c>
      <c r="T38" s="188" t="s">
        <v>5</v>
      </c>
      <c r="U38" s="62" t="s">
        <v>6</v>
      </c>
      <c r="V38" s="236">
        <v>100</v>
      </c>
      <c r="W38" s="40" t="str">
        <f t="shared" si="0"/>
        <v>A</v>
      </c>
    </row>
    <row r="39" spans="1:23" ht="15.75" customHeight="1">
      <c r="A39" s="235" t="s">
        <v>213</v>
      </c>
      <c r="B39" s="253">
        <v>1</v>
      </c>
      <c r="C39" s="267" t="s">
        <v>8</v>
      </c>
      <c r="D39" s="254" t="s">
        <v>5</v>
      </c>
      <c r="E39" s="143">
        <f>(0.047+0.0155+0.001)*100</f>
        <v>6.35</v>
      </c>
      <c r="F39" s="133" t="s">
        <v>286</v>
      </c>
      <c r="G39" s="134">
        <v>43704</v>
      </c>
      <c r="H39" s="120" t="s">
        <v>5</v>
      </c>
      <c r="I39" s="219" t="s">
        <v>5</v>
      </c>
      <c r="J39" s="180" t="s">
        <v>5</v>
      </c>
      <c r="K39" s="120" t="s">
        <v>5</v>
      </c>
      <c r="L39" s="219" t="s">
        <v>5</v>
      </c>
      <c r="M39" s="180" t="s">
        <v>5</v>
      </c>
      <c r="N39" s="120" t="s">
        <v>5</v>
      </c>
      <c r="O39" s="219" t="s">
        <v>5</v>
      </c>
      <c r="P39" s="180" t="s">
        <v>5</v>
      </c>
      <c r="Q39" s="120" t="s">
        <v>5</v>
      </c>
      <c r="R39" s="219" t="s">
        <v>5</v>
      </c>
      <c r="S39" s="180" t="s">
        <v>5</v>
      </c>
      <c r="T39" s="189">
        <f>G39*(E39/100)</f>
        <v>2775.2040000000002</v>
      </c>
      <c r="U39" s="62" t="s">
        <v>6</v>
      </c>
      <c r="V39" s="236">
        <v>100</v>
      </c>
      <c r="W39" s="40" t="str">
        <f t="shared" si="0"/>
        <v>A</v>
      </c>
    </row>
    <row r="40" spans="1:23" ht="15.75" customHeight="1">
      <c r="A40" s="235" t="s">
        <v>73</v>
      </c>
      <c r="B40" s="253">
        <v>1</v>
      </c>
      <c r="C40" s="267" t="s">
        <v>8</v>
      </c>
      <c r="D40" s="254" t="s">
        <v>5</v>
      </c>
      <c r="E40" s="143">
        <f>0.07*100</f>
        <v>7.0000000000000009</v>
      </c>
      <c r="F40" s="133" t="str">
        <f>"["&amp;0.423*44300&amp;"]"</f>
        <v>[18738.9]</v>
      </c>
      <c r="G40" s="134">
        <f>8.07*59300</f>
        <v>478551</v>
      </c>
      <c r="H40" s="120" t="s">
        <v>5</v>
      </c>
      <c r="I40" s="219" t="s">
        <v>5</v>
      </c>
      <c r="J40" s="180" t="s">
        <v>5</v>
      </c>
      <c r="K40" s="120" t="s">
        <v>5</v>
      </c>
      <c r="L40" s="219" t="s">
        <v>5</v>
      </c>
      <c r="M40" s="180" t="s">
        <v>5</v>
      </c>
      <c r="N40" s="120" t="s">
        <v>5</v>
      </c>
      <c r="O40" s="219" t="s">
        <v>5</v>
      </c>
      <c r="P40" s="180" t="s">
        <v>5</v>
      </c>
      <c r="Q40" s="120" t="s">
        <v>5</v>
      </c>
      <c r="R40" s="219" t="s">
        <v>5</v>
      </c>
      <c r="S40" s="180" t="s">
        <v>5</v>
      </c>
      <c r="T40" s="189">
        <f>ROUND(E40*G40/100,-2)</f>
        <v>33500</v>
      </c>
      <c r="U40" s="62" t="s">
        <v>28</v>
      </c>
      <c r="V40" s="236">
        <v>100</v>
      </c>
      <c r="W40" s="40" t="str">
        <f t="shared" si="0"/>
        <v>C</v>
      </c>
    </row>
    <row r="41" spans="1:23" ht="15.75" customHeight="1">
      <c r="A41" s="235" t="s">
        <v>74</v>
      </c>
      <c r="B41" s="253">
        <v>1</v>
      </c>
      <c r="C41" s="267" t="s">
        <v>8</v>
      </c>
      <c r="D41" s="254" t="s">
        <v>5</v>
      </c>
      <c r="E41" s="143">
        <f>(0.011+0.05125)*100</f>
        <v>6.2249999999999996</v>
      </c>
      <c r="F41" s="224">
        <v>0</v>
      </c>
      <c r="G41" s="140">
        <v>148200</v>
      </c>
      <c r="H41" s="143">
        <f>(0.005+0.05125)*100</f>
        <v>5.6249999999999991</v>
      </c>
      <c r="I41" s="219" t="s">
        <v>5</v>
      </c>
      <c r="J41" s="180" t="s">
        <v>5</v>
      </c>
      <c r="K41" s="120" t="s">
        <v>5</v>
      </c>
      <c r="L41" s="139" t="str">
        <f>J41</f>
        <v>-</v>
      </c>
      <c r="M41" s="142" t="s">
        <v>5</v>
      </c>
      <c r="N41" s="121" t="s">
        <v>5</v>
      </c>
      <c r="O41" s="218" t="s">
        <v>5</v>
      </c>
      <c r="P41" s="142" t="s">
        <v>5</v>
      </c>
      <c r="Q41" s="121" t="s">
        <v>5</v>
      </c>
      <c r="R41" s="218" t="s">
        <v>5</v>
      </c>
      <c r="S41" s="142" t="s">
        <v>5</v>
      </c>
      <c r="T41" s="188" t="s">
        <v>5</v>
      </c>
      <c r="U41" s="62" t="s">
        <v>6</v>
      </c>
      <c r="V41" s="236">
        <v>100</v>
      </c>
      <c r="W41" s="40" t="str">
        <f t="shared" si="0"/>
        <v>A</v>
      </c>
    </row>
    <row r="42" spans="1:23" ht="15.75" customHeight="1">
      <c r="A42" s="235" t="s">
        <v>43</v>
      </c>
      <c r="B42" s="253">
        <v>1</v>
      </c>
      <c r="C42" s="267" t="s">
        <v>8</v>
      </c>
      <c r="D42" s="254" t="s">
        <v>5</v>
      </c>
      <c r="E42" s="143">
        <f>0.15*100</f>
        <v>15</v>
      </c>
      <c r="F42" s="224" t="s">
        <v>287</v>
      </c>
      <c r="G42" s="225">
        <v>128466</v>
      </c>
      <c r="H42" s="163" t="s">
        <v>5</v>
      </c>
      <c r="I42" s="395" t="s">
        <v>5</v>
      </c>
      <c r="J42" s="472" t="s">
        <v>5</v>
      </c>
      <c r="K42" s="163" t="s">
        <v>5</v>
      </c>
      <c r="L42" s="395" t="s">
        <v>5</v>
      </c>
      <c r="M42" s="472" t="s">
        <v>5</v>
      </c>
      <c r="N42" s="163" t="s">
        <v>5</v>
      </c>
      <c r="O42" s="395" t="s">
        <v>5</v>
      </c>
      <c r="P42" s="472" t="s">
        <v>5</v>
      </c>
      <c r="Q42" s="163" t="s">
        <v>5</v>
      </c>
      <c r="R42" s="395" t="s">
        <v>5</v>
      </c>
      <c r="S42" s="472" t="s">
        <v>5</v>
      </c>
      <c r="T42" s="189">
        <f>G42*E42/100</f>
        <v>19269.900000000001</v>
      </c>
      <c r="U42" s="62" t="s">
        <v>6</v>
      </c>
      <c r="V42" s="236">
        <v>100</v>
      </c>
      <c r="W42" s="40" t="str">
        <f t="shared" si="0"/>
        <v>A</v>
      </c>
    </row>
    <row r="43" spans="1:23" ht="15.75" customHeight="1">
      <c r="A43" s="235" t="s">
        <v>47</v>
      </c>
      <c r="B43" s="253">
        <v>1</v>
      </c>
      <c r="C43" s="267" t="s">
        <v>19</v>
      </c>
      <c r="D43" s="254" t="s">
        <v>5</v>
      </c>
      <c r="E43" s="143">
        <f>0.12*100</f>
        <v>12</v>
      </c>
      <c r="F43" s="224">
        <f>8060/52</f>
        <v>155</v>
      </c>
      <c r="G43" s="225">
        <f>43000/52</f>
        <v>826.92307692307691</v>
      </c>
      <c r="H43" s="143">
        <f>0.02*100</f>
        <v>2</v>
      </c>
      <c r="I43" s="224">
        <f>G43</f>
        <v>826.92307692307691</v>
      </c>
      <c r="J43" s="472" t="s">
        <v>5</v>
      </c>
      <c r="K43" s="163" t="s">
        <v>5</v>
      </c>
      <c r="L43" s="395" t="s">
        <v>5</v>
      </c>
      <c r="M43" s="472" t="s">
        <v>5</v>
      </c>
      <c r="N43" s="163" t="s">
        <v>5</v>
      </c>
      <c r="O43" s="395" t="s">
        <v>5</v>
      </c>
      <c r="P43" s="472" t="s">
        <v>5</v>
      </c>
      <c r="Q43" s="163" t="s">
        <v>5</v>
      </c>
      <c r="R43" s="395" t="s">
        <v>5</v>
      </c>
      <c r="S43" s="472" t="s">
        <v>5</v>
      </c>
      <c r="T43" s="188" t="s">
        <v>5</v>
      </c>
      <c r="U43" s="67" t="s">
        <v>5</v>
      </c>
      <c r="V43" s="237" t="s">
        <v>5</v>
      </c>
      <c r="W43" s="40" t="str">
        <f t="shared" si="0"/>
        <v/>
      </c>
    </row>
    <row r="44" spans="1:23" ht="15.75" customHeight="1">
      <c r="A44" s="246" t="s">
        <v>20</v>
      </c>
      <c r="B44" s="262">
        <v>1</v>
      </c>
      <c r="C44" s="269" t="s">
        <v>8</v>
      </c>
      <c r="D44" s="263" t="s">
        <v>5</v>
      </c>
      <c r="E44" s="247">
        <f>(0.062*100)+H44</f>
        <v>7.65</v>
      </c>
      <c r="F44" s="149">
        <v>0</v>
      </c>
      <c r="G44" s="138">
        <v>118500</v>
      </c>
      <c r="H44" s="247">
        <f>0.0145*100</f>
        <v>1.4500000000000002</v>
      </c>
      <c r="I44" s="137">
        <f>G44</f>
        <v>118500</v>
      </c>
      <c r="J44" s="125" t="s">
        <v>5</v>
      </c>
      <c r="K44" s="476" t="s">
        <v>5</v>
      </c>
      <c r="L44" s="477" t="s">
        <v>5</v>
      </c>
      <c r="M44" s="125" t="s">
        <v>5</v>
      </c>
      <c r="N44" s="476" t="s">
        <v>5</v>
      </c>
      <c r="O44" s="477" t="s">
        <v>5</v>
      </c>
      <c r="P44" s="125" t="s">
        <v>5</v>
      </c>
      <c r="Q44" s="476" t="s">
        <v>5</v>
      </c>
      <c r="R44" s="477" t="s">
        <v>5</v>
      </c>
      <c r="S44" s="125" t="s">
        <v>5</v>
      </c>
      <c r="T44" s="248" t="s">
        <v>5</v>
      </c>
      <c r="U44" s="249" t="s">
        <v>5</v>
      </c>
      <c r="V44" s="250" t="s">
        <v>5</v>
      </c>
      <c r="W44" s="40" t="str">
        <f t="shared" si="0"/>
        <v/>
      </c>
    </row>
    <row r="45" spans="1:23" ht="15.75" customHeight="1">
      <c r="A45" s="176"/>
      <c r="B45" s="25"/>
      <c r="C45" s="62"/>
      <c r="D45" s="65"/>
      <c r="E45" s="63"/>
      <c r="F45" s="87"/>
      <c r="G45" s="35"/>
      <c r="H45" s="35"/>
      <c r="I45" s="35"/>
      <c r="J45" s="35"/>
      <c r="K45" s="35"/>
      <c r="L45" s="35"/>
      <c r="M45" s="35"/>
      <c r="N45" s="35"/>
      <c r="O45" s="35"/>
      <c r="P45" s="35"/>
      <c r="Q45" s="35"/>
      <c r="R45" s="35"/>
      <c r="S45" s="35"/>
      <c r="T45" s="64"/>
      <c r="U45" s="67"/>
      <c r="V45" s="68"/>
    </row>
    <row r="46" spans="1:23" s="75" customFormat="1" ht="12.75" customHeight="1">
      <c r="A46" s="535" t="s">
        <v>94</v>
      </c>
      <c r="B46" s="535"/>
      <c r="C46" s="535"/>
      <c r="D46" s="535"/>
      <c r="E46" s="535"/>
      <c r="F46" s="535"/>
      <c r="G46" s="535"/>
      <c r="H46" s="535"/>
      <c r="I46" s="535"/>
      <c r="J46" s="535"/>
      <c r="K46" s="535"/>
      <c r="L46" s="535"/>
      <c r="M46" s="535"/>
      <c r="N46" s="535"/>
      <c r="O46" s="535"/>
      <c r="P46" s="535"/>
      <c r="Q46" s="535"/>
      <c r="R46" s="535"/>
      <c r="S46" s="535"/>
      <c r="T46" s="535"/>
      <c r="U46" s="535"/>
      <c r="V46" s="535"/>
    </row>
    <row r="47" spans="1:23" s="76" customFormat="1" ht="12.75" customHeight="1">
      <c r="A47" s="539" t="s">
        <v>95</v>
      </c>
      <c r="B47" s="539"/>
      <c r="C47" s="539"/>
      <c r="D47" s="539"/>
      <c r="E47" s="539"/>
      <c r="F47" s="539"/>
      <c r="G47" s="539"/>
      <c r="H47" s="539"/>
      <c r="I47" s="539"/>
      <c r="J47" s="539"/>
      <c r="K47" s="539"/>
      <c r="L47" s="539"/>
      <c r="M47" s="539"/>
      <c r="N47" s="539"/>
      <c r="O47" s="539"/>
      <c r="P47" s="539"/>
      <c r="Q47" s="539"/>
      <c r="R47" s="539"/>
      <c r="S47" s="539"/>
      <c r="T47" s="539"/>
      <c r="U47" s="539"/>
      <c r="V47" s="539"/>
    </row>
    <row r="48" spans="1:23" s="76" customFormat="1" ht="12.75" customHeight="1">
      <c r="A48" s="539" t="s">
        <v>107</v>
      </c>
      <c r="B48" s="539"/>
      <c r="C48" s="539"/>
      <c r="D48" s="539"/>
      <c r="E48" s="539"/>
      <c r="F48" s="539"/>
      <c r="G48" s="539"/>
      <c r="H48" s="539"/>
      <c r="I48" s="539"/>
      <c r="J48" s="539"/>
      <c r="K48" s="539"/>
      <c r="L48" s="539"/>
      <c r="M48" s="539"/>
      <c r="N48" s="539"/>
      <c r="O48" s="539"/>
      <c r="P48" s="539"/>
      <c r="Q48" s="539"/>
      <c r="R48" s="539"/>
      <c r="S48" s="539"/>
      <c r="T48" s="539"/>
      <c r="U48" s="539"/>
      <c r="V48" s="539"/>
    </row>
    <row r="49" spans="1:33" s="76" customFormat="1" ht="12.75" customHeight="1">
      <c r="A49" s="539" t="s">
        <v>108</v>
      </c>
      <c r="B49" s="539"/>
      <c r="C49" s="539"/>
      <c r="D49" s="539"/>
      <c r="E49" s="539"/>
      <c r="F49" s="539"/>
      <c r="G49" s="539"/>
      <c r="H49" s="539"/>
      <c r="I49" s="539"/>
      <c r="J49" s="539"/>
      <c r="K49" s="539"/>
      <c r="L49" s="539"/>
      <c r="M49" s="539"/>
      <c r="N49" s="539"/>
      <c r="O49" s="539"/>
      <c r="P49" s="539"/>
      <c r="Q49" s="539"/>
      <c r="R49" s="539"/>
      <c r="S49" s="539"/>
      <c r="T49" s="539"/>
      <c r="U49" s="539"/>
      <c r="V49" s="539"/>
    </row>
    <row r="50" spans="1:33" s="76" customFormat="1" ht="12.75" customHeight="1">
      <c r="A50" s="516" t="s">
        <v>1</v>
      </c>
      <c r="B50" s="84" t="s">
        <v>122</v>
      </c>
      <c r="C50" s="530" t="s">
        <v>123</v>
      </c>
      <c r="D50" s="103"/>
      <c r="E50" s="103"/>
      <c r="F50" s="104"/>
      <c r="U50" s="532"/>
      <c r="V50" s="532"/>
    </row>
    <row r="51" spans="1:33" s="76" customFormat="1" ht="12.75" customHeight="1">
      <c r="A51" s="517"/>
      <c r="B51" s="85" t="s">
        <v>124</v>
      </c>
      <c r="C51" s="531" t="s">
        <v>126</v>
      </c>
      <c r="D51" s="105"/>
      <c r="E51" s="105"/>
      <c r="F51" s="106"/>
      <c r="U51" s="83"/>
      <c r="V51" s="83"/>
    </row>
    <row r="52" spans="1:33" s="76" customFormat="1" ht="12.75" customHeight="1">
      <c r="A52" s="517"/>
      <c r="B52" s="85" t="s">
        <v>125</v>
      </c>
      <c r="C52" s="531" t="s">
        <v>136</v>
      </c>
      <c r="D52" s="105"/>
      <c r="E52" s="105"/>
      <c r="F52" s="106"/>
      <c r="U52" s="83"/>
      <c r="V52" s="83"/>
    </row>
    <row r="53" spans="1:33" s="76" customFormat="1" ht="12.75" customHeight="1">
      <c r="A53" s="517"/>
      <c r="B53" s="85" t="s">
        <v>128</v>
      </c>
      <c r="C53" s="531" t="s">
        <v>129</v>
      </c>
      <c r="D53" s="105"/>
      <c r="E53" s="105"/>
      <c r="F53" s="106"/>
      <c r="U53" s="83"/>
      <c r="V53" s="83"/>
    </row>
    <row r="54" spans="1:33" s="76" customFormat="1" ht="12.75" customHeight="1">
      <c r="A54" s="517"/>
      <c r="B54" s="86" t="s">
        <v>130</v>
      </c>
      <c r="C54" s="109" t="s">
        <v>133</v>
      </c>
      <c r="D54" s="107"/>
      <c r="E54" s="107"/>
      <c r="F54" s="108"/>
      <c r="U54" s="83"/>
      <c r="V54" s="83"/>
    </row>
    <row r="55" spans="1:33" s="76" customFormat="1" ht="12.75" customHeight="1">
      <c r="A55" s="517"/>
      <c r="C55" s="533"/>
      <c r="D55" s="93"/>
      <c r="E55" s="93"/>
      <c r="F55" s="93"/>
      <c r="U55" s="83"/>
      <c r="V55" s="83"/>
    </row>
    <row r="56" spans="1:33" s="76" customFormat="1" ht="12.75" customHeight="1">
      <c r="A56" s="518" t="s">
        <v>127</v>
      </c>
      <c r="B56" s="84" t="s">
        <v>128</v>
      </c>
      <c r="C56" s="530" t="s">
        <v>129</v>
      </c>
      <c r="D56" s="103"/>
      <c r="E56" s="103"/>
      <c r="F56" s="104"/>
      <c r="G56" s="76" t="s">
        <v>255</v>
      </c>
      <c r="U56" s="532"/>
      <c r="V56" s="532"/>
    </row>
    <row r="57" spans="1:33" s="76" customFormat="1" ht="12.75" customHeight="1">
      <c r="A57" s="517"/>
      <c r="B57" s="85" t="s">
        <v>130</v>
      </c>
      <c r="C57" s="531" t="s">
        <v>133</v>
      </c>
      <c r="D57" s="105"/>
      <c r="E57" s="105"/>
      <c r="F57" s="106"/>
      <c r="G57" s="76" t="s">
        <v>256</v>
      </c>
      <c r="U57" s="83"/>
      <c r="V57" s="83"/>
    </row>
    <row r="58" spans="1:33" s="76" customFormat="1" ht="12.75" customHeight="1">
      <c r="A58" s="519"/>
      <c r="B58" s="86" t="s">
        <v>28</v>
      </c>
      <c r="C58" s="109" t="s">
        <v>214</v>
      </c>
      <c r="D58" s="109"/>
      <c r="E58" s="109"/>
      <c r="F58" s="110"/>
      <c r="G58" s="76" t="s">
        <v>257</v>
      </c>
      <c r="U58" s="83"/>
      <c r="V58" s="83"/>
    </row>
    <row r="59" spans="1:33" s="76" customFormat="1" ht="12.75" customHeight="1">
      <c r="A59" s="520"/>
      <c r="C59" s="78"/>
      <c r="D59" s="83"/>
      <c r="F59" s="83"/>
      <c r="G59" s="83"/>
      <c r="H59" s="83"/>
      <c r="I59" s="83"/>
      <c r="J59" s="83"/>
      <c r="K59" s="83"/>
      <c r="L59" s="83"/>
      <c r="M59" s="83"/>
      <c r="N59" s="83"/>
      <c r="O59" s="83"/>
      <c r="P59" s="83"/>
      <c r="Q59" s="83"/>
      <c r="R59" s="83"/>
      <c r="S59" s="83"/>
      <c r="T59" s="83"/>
      <c r="U59" s="83"/>
      <c r="V59" s="83"/>
    </row>
    <row r="60" spans="1:33" s="76" customFormat="1" ht="20.25" customHeight="1">
      <c r="A60" s="540" t="s">
        <v>96</v>
      </c>
      <c r="B60" s="540"/>
      <c r="C60" s="540"/>
      <c r="D60" s="540"/>
      <c r="E60" s="540"/>
      <c r="F60" s="540"/>
      <c r="G60" s="540"/>
      <c r="H60" s="540"/>
      <c r="I60" s="540"/>
      <c r="J60" s="540"/>
      <c r="K60" s="540"/>
      <c r="L60" s="540"/>
      <c r="M60" s="540"/>
      <c r="N60" s="540"/>
      <c r="O60" s="540"/>
      <c r="P60" s="540"/>
      <c r="Q60" s="540"/>
      <c r="R60" s="540"/>
      <c r="S60" s="540"/>
      <c r="T60" s="540"/>
      <c r="U60" s="540"/>
      <c r="V60" s="540"/>
    </row>
    <row r="61" spans="1:33" s="76" customFormat="1" ht="17.25" customHeight="1">
      <c r="A61" s="539" t="s">
        <v>97</v>
      </c>
      <c r="B61" s="539"/>
      <c r="C61" s="539"/>
      <c r="D61" s="539"/>
      <c r="E61" s="539"/>
      <c r="F61" s="539"/>
      <c r="G61" s="539"/>
      <c r="H61" s="539"/>
      <c r="I61" s="539"/>
      <c r="J61" s="539"/>
      <c r="K61" s="539"/>
      <c r="L61" s="539"/>
      <c r="M61" s="539"/>
      <c r="N61" s="539"/>
      <c r="O61" s="539"/>
      <c r="P61" s="539"/>
      <c r="Q61" s="539"/>
      <c r="R61" s="539"/>
      <c r="S61" s="539"/>
      <c r="T61" s="539"/>
      <c r="U61" s="539"/>
      <c r="V61" s="539"/>
    </row>
    <row r="62" spans="1:33" s="76" customFormat="1" ht="22.5" customHeight="1">
      <c r="A62" s="521" t="s">
        <v>98</v>
      </c>
      <c r="B62" s="177"/>
      <c r="C62" s="512"/>
      <c r="D62" s="177"/>
      <c r="E62" s="177"/>
      <c r="F62" s="177"/>
      <c r="G62" s="177"/>
      <c r="H62" s="177"/>
      <c r="I62" s="177"/>
      <c r="J62" s="177"/>
      <c r="K62" s="177"/>
      <c r="L62" s="177"/>
      <c r="M62" s="177"/>
      <c r="N62" s="177"/>
      <c r="O62" s="177"/>
      <c r="P62" s="177"/>
      <c r="Q62" s="177"/>
      <c r="R62" s="177"/>
      <c r="S62" s="177"/>
      <c r="T62" s="177"/>
      <c r="U62" s="177"/>
      <c r="V62" s="177"/>
    </row>
    <row r="63" spans="1:33" s="76" customFormat="1" ht="50.25" customHeight="1">
      <c r="A63" s="539" t="s">
        <v>238</v>
      </c>
      <c r="B63" s="539"/>
      <c r="C63" s="539"/>
      <c r="D63" s="539"/>
      <c r="E63" s="539"/>
      <c r="F63" s="539"/>
      <c r="G63" s="539"/>
      <c r="H63" s="539"/>
      <c r="I63" s="539"/>
      <c r="J63" s="539"/>
      <c r="K63" s="539"/>
      <c r="L63" s="539"/>
      <c r="M63" s="539"/>
      <c r="N63" s="539"/>
      <c r="O63" s="539"/>
      <c r="P63" s="539"/>
      <c r="Q63" s="539"/>
      <c r="R63" s="539"/>
      <c r="S63" s="539"/>
      <c r="T63" s="539"/>
      <c r="U63" s="539"/>
      <c r="V63" s="539"/>
      <c r="W63" s="83"/>
      <c r="X63" s="83"/>
      <c r="Y63" s="83"/>
      <c r="Z63" s="83"/>
      <c r="AA63" s="83"/>
      <c r="AB63" s="83"/>
      <c r="AC63" s="83"/>
      <c r="AD63" s="83"/>
      <c r="AE63" s="83"/>
      <c r="AF63" s="83"/>
      <c r="AG63" s="83"/>
    </row>
    <row r="64" spans="1:33" s="76" customFormat="1" ht="22.5" customHeight="1">
      <c r="A64" s="539" t="s">
        <v>226</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35.25" customHeight="1">
      <c r="A65" s="539" t="s">
        <v>227</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48.75" customHeight="1">
      <c r="A66" s="539" t="s">
        <v>228</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93" customHeight="1">
      <c r="A67" s="539" t="s">
        <v>251</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50.25" customHeight="1">
      <c r="A68" s="539" t="s">
        <v>230</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26.25" customHeight="1">
      <c r="A69" s="538"/>
      <c r="B69" s="538"/>
      <c r="C69" s="538"/>
      <c r="D69" s="538"/>
      <c r="E69" s="538"/>
      <c r="F69" s="538"/>
      <c r="G69" s="538"/>
      <c r="H69" s="538"/>
      <c r="I69" s="538"/>
      <c r="J69" s="538"/>
      <c r="K69" s="538"/>
      <c r="L69" s="538"/>
      <c r="M69" s="538"/>
      <c r="N69" s="538"/>
      <c r="O69" s="538"/>
      <c r="P69" s="538"/>
      <c r="Q69" s="538"/>
      <c r="R69" s="538"/>
      <c r="S69" s="538"/>
      <c r="T69" s="538"/>
      <c r="U69" s="538"/>
      <c r="V69" s="538"/>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s="76" customFormat="1" ht="25.5" customHeight="1">
      <c r="A71" s="540" t="s">
        <v>259</v>
      </c>
      <c r="B71" s="540"/>
      <c r="C71" s="540"/>
      <c r="D71" s="540"/>
      <c r="E71" s="540"/>
      <c r="F71" s="540"/>
      <c r="G71" s="540"/>
      <c r="H71" s="540"/>
      <c r="I71" s="540"/>
      <c r="J71" s="540"/>
      <c r="K71" s="540"/>
      <c r="L71" s="540"/>
      <c r="M71" s="540"/>
      <c r="N71" s="540"/>
      <c r="O71" s="540"/>
      <c r="P71" s="540"/>
      <c r="Q71" s="540"/>
      <c r="R71" s="540"/>
      <c r="S71" s="540"/>
      <c r="T71" s="540"/>
      <c r="U71" s="540"/>
      <c r="V71" s="540"/>
    </row>
    <row r="72" spans="1:33" s="76" customFormat="1" ht="24.75" customHeight="1">
      <c r="A72" s="540" t="s">
        <v>109</v>
      </c>
      <c r="B72" s="540"/>
      <c r="C72" s="540"/>
      <c r="D72" s="540"/>
      <c r="E72" s="540"/>
      <c r="F72" s="540"/>
      <c r="G72" s="540"/>
      <c r="H72" s="540"/>
      <c r="I72" s="540"/>
      <c r="J72" s="540"/>
      <c r="K72" s="540"/>
      <c r="L72" s="540"/>
      <c r="M72" s="540"/>
      <c r="N72" s="540"/>
      <c r="O72" s="540"/>
      <c r="P72" s="540"/>
      <c r="Q72" s="540"/>
      <c r="R72" s="540"/>
      <c r="S72" s="540"/>
      <c r="T72" s="540"/>
      <c r="U72" s="540"/>
      <c r="V72" s="540"/>
    </row>
    <row r="73" spans="1:33" s="76" customFormat="1" ht="33.75" customHeight="1">
      <c r="A73" s="540" t="s">
        <v>205</v>
      </c>
      <c r="B73" s="540"/>
      <c r="C73" s="540"/>
      <c r="D73" s="540"/>
      <c r="E73" s="540"/>
      <c r="F73" s="540"/>
      <c r="G73" s="540"/>
      <c r="H73" s="540"/>
      <c r="I73" s="540"/>
      <c r="J73" s="540"/>
      <c r="K73" s="540"/>
      <c r="L73" s="540"/>
      <c r="M73" s="540"/>
      <c r="N73" s="540"/>
      <c r="O73" s="540"/>
      <c r="P73" s="540"/>
      <c r="Q73" s="540"/>
      <c r="R73" s="540"/>
      <c r="S73" s="540"/>
      <c r="T73" s="540"/>
      <c r="U73" s="540"/>
      <c r="V73" s="540"/>
    </row>
    <row r="74" spans="1:33" s="76" customFormat="1" ht="26.25" customHeight="1">
      <c r="A74" s="540" t="s">
        <v>110</v>
      </c>
      <c r="B74" s="540"/>
      <c r="C74" s="540"/>
      <c r="D74" s="540"/>
      <c r="E74" s="540"/>
      <c r="F74" s="540"/>
      <c r="G74" s="540"/>
      <c r="H74" s="540"/>
      <c r="I74" s="540"/>
      <c r="J74" s="540"/>
      <c r="K74" s="540"/>
      <c r="L74" s="540"/>
      <c r="M74" s="540"/>
      <c r="N74" s="540"/>
      <c r="O74" s="540"/>
      <c r="P74" s="540"/>
      <c r="Q74" s="540"/>
      <c r="R74" s="540"/>
      <c r="S74" s="540"/>
      <c r="T74" s="540"/>
      <c r="U74" s="540"/>
      <c r="V74" s="540"/>
    </row>
    <row r="75" spans="1:33" s="76" customFormat="1" ht="47.25" customHeight="1">
      <c r="A75" s="540" t="s">
        <v>288</v>
      </c>
      <c r="B75" s="540"/>
      <c r="C75" s="540"/>
      <c r="D75" s="540"/>
      <c r="E75" s="540"/>
      <c r="F75" s="540"/>
      <c r="G75" s="540"/>
      <c r="H75" s="540"/>
      <c r="I75" s="540"/>
      <c r="J75" s="540"/>
      <c r="K75" s="540"/>
      <c r="L75" s="540"/>
      <c r="M75" s="540"/>
      <c r="N75" s="540"/>
      <c r="O75" s="540"/>
      <c r="P75" s="540"/>
      <c r="Q75" s="540"/>
      <c r="R75" s="540"/>
      <c r="S75" s="540"/>
      <c r="T75" s="540"/>
      <c r="U75" s="540"/>
      <c r="V75" s="540"/>
    </row>
    <row r="76" spans="1:33" s="76" customFormat="1" ht="20.25" customHeight="1">
      <c r="A76" s="540" t="s">
        <v>112</v>
      </c>
      <c r="B76" s="540"/>
      <c r="C76" s="540"/>
      <c r="D76" s="540"/>
      <c r="E76" s="540"/>
      <c r="F76" s="540"/>
      <c r="G76" s="540"/>
      <c r="H76" s="540"/>
      <c r="I76" s="540"/>
      <c r="J76" s="540"/>
      <c r="K76" s="540"/>
      <c r="L76" s="540"/>
      <c r="M76" s="540"/>
      <c r="N76" s="540"/>
      <c r="O76" s="540"/>
      <c r="P76" s="540"/>
      <c r="Q76" s="540"/>
      <c r="R76" s="540"/>
      <c r="S76" s="540"/>
      <c r="T76" s="540"/>
      <c r="U76" s="540"/>
      <c r="V76" s="540"/>
    </row>
    <row r="77" spans="1:33" s="76" customFormat="1" ht="20.25" customHeight="1">
      <c r="A77" s="540" t="s">
        <v>217</v>
      </c>
      <c r="B77" s="540"/>
      <c r="C77" s="540"/>
      <c r="D77" s="540"/>
      <c r="E77" s="540"/>
      <c r="F77" s="540"/>
      <c r="G77" s="540"/>
      <c r="H77" s="540"/>
      <c r="I77" s="540"/>
      <c r="J77" s="540"/>
      <c r="K77" s="540"/>
      <c r="L77" s="540"/>
      <c r="M77" s="540"/>
      <c r="N77" s="540"/>
      <c r="O77" s="540"/>
      <c r="P77" s="540"/>
      <c r="Q77" s="540"/>
      <c r="R77" s="540"/>
      <c r="S77" s="540"/>
      <c r="T77" s="540"/>
      <c r="U77" s="540"/>
      <c r="V77" s="540"/>
    </row>
    <row r="78" spans="1:33" s="76" customFormat="1" ht="27.75" customHeight="1">
      <c r="A78" s="540" t="s">
        <v>207</v>
      </c>
      <c r="B78" s="540"/>
      <c r="C78" s="540"/>
      <c r="D78" s="540"/>
      <c r="E78" s="540"/>
      <c r="F78" s="540"/>
      <c r="G78" s="540"/>
      <c r="H78" s="540"/>
      <c r="I78" s="540"/>
      <c r="J78" s="540"/>
      <c r="K78" s="540"/>
      <c r="L78" s="540"/>
      <c r="M78" s="540"/>
      <c r="N78" s="540"/>
      <c r="O78" s="540"/>
      <c r="P78" s="540"/>
      <c r="Q78" s="540"/>
      <c r="R78" s="540"/>
      <c r="S78" s="540"/>
      <c r="T78" s="540"/>
      <c r="U78" s="540"/>
      <c r="V78" s="540"/>
    </row>
    <row r="79" spans="1:33" s="76" customFormat="1" ht="59.25" customHeight="1">
      <c r="A79" s="540" t="s">
        <v>278</v>
      </c>
      <c r="B79" s="540"/>
      <c r="C79" s="540"/>
      <c r="D79" s="540"/>
      <c r="E79" s="540"/>
      <c r="F79" s="540"/>
      <c r="G79" s="540"/>
      <c r="H79" s="540"/>
      <c r="I79" s="540"/>
      <c r="J79" s="540"/>
      <c r="K79" s="540"/>
      <c r="L79" s="540"/>
      <c r="M79" s="540"/>
      <c r="N79" s="540"/>
      <c r="O79" s="540"/>
      <c r="P79" s="540"/>
      <c r="Q79" s="540"/>
      <c r="R79" s="540"/>
      <c r="S79" s="540"/>
      <c r="T79" s="540"/>
      <c r="U79" s="540"/>
      <c r="V79" s="540"/>
    </row>
    <row r="80" spans="1:33" s="76" customFormat="1" ht="21" customHeight="1">
      <c r="A80" s="541" t="s">
        <v>209</v>
      </c>
      <c r="B80" s="541"/>
      <c r="C80" s="541"/>
      <c r="D80" s="541"/>
      <c r="E80" s="541"/>
      <c r="F80" s="541"/>
      <c r="G80" s="541"/>
      <c r="H80" s="541"/>
      <c r="I80" s="541"/>
      <c r="J80" s="541"/>
      <c r="K80" s="541"/>
      <c r="L80" s="541"/>
      <c r="M80" s="541"/>
      <c r="N80" s="541"/>
      <c r="O80" s="541"/>
      <c r="P80" s="541"/>
      <c r="Q80" s="541"/>
      <c r="R80" s="541"/>
      <c r="S80" s="541"/>
      <c r="T80" s="541"/>
      <c r="U80" s="541"/>
      <c r="V80" s="541"/>
    </row>
    <row r="81" spans="1:22" s="76" customFormat="1" ht="31.5" customHeight="1">
      <c r="A81" s="540" t="s">
        <v>274</v>
      </c>
      <c r="B81" s="540"/>
      <c r="C81" s="540"/>
      <c r="D81" s="540"/>
      <c r="E81" s="540"/>
      <c r="F81" s="540"/>
      <c r="G81" s="540"/>
      <c r="H81" s="540"/>
      <c r="I81" s="540"/>
      <c r="J81" s="540"/>
      <c r="K81" s="540"/>
      <c r="L81" s="540"/>
      <c r="M81" s="540"/>
      <c r="N81" s="540"/>
      <c r="O81" s="540"/>
      <c r="P81" s="540"/>
      <c r="Q81" s="540"/>
      <c r="R81" s="540"/>
      <c r="S81" s="540"/>
      <c r="T81" s="540"/>
      <c r="U81" s="540"/>
      <c r="V81" s="540"/>
    </row>
    <row r="82" spans="1:22" s="76" customFormat="1" ht="47.25" customHeight="1">
      <c r="A82" s="540" t="s">
        <v>276</v>
      </c>
      <c r="B82" s="540"/>
      <c r="C82" s="540"/>
      <c r="D82" s="540"/>
      <c r="E82" s="540"/>
      <c r="F82" s="540"/>
      <c r="G82" s="540"/>
      <c r="H82" s="540"/>
      <c r="I82" s="540"/>
      <c r="J82" s="540"/>
      <c r="K82" s="540"/>
      <c r="L82" s="540"/>
      <c r="M82" s="540"/>
      <c r="N82" s="540"/>
      <c r="O82" s="540"/>
      <c r="P82" s="540"/>
      <c r="Q82" s="540"/>
      <c r="R82" s="540"/>
      <c r="S82" s="540"/>
      <c r="T82" s="540"/>
      <c r="U82" s="540"/>
      <c r="V82" s="540"/>
    </row>
    <row r="83" spans="1:22" s="76" customFormat="1" ht="21" customHeight="1">
      <c r="A83" s="540" t="s">
        <v>116</v>
      </c>
      <c r="B83" s="540"/>
      <c r="C83" s="540"/>
      <c r="D83" s="540"/>
      <c r="E83" s="540"/>
      <c r="F83" s="540"/>
      <c r="G83" s="540"/>
      <c r="H83" s="540"/>
      <c r="I83" s="540"/>
      <c r="J83" s="540"/>
      <c r="K83" s="540"/>
      <c r="L83" s="540"/>
      <c r="M83" s="540"/>
      <c r="N83" s="540"/>
      <c r="O83" s="540"/>
      <c r="P83" s="540"/>
      <c r="Q83" s="540"/>
      <c r="R83" s="540"/>
      <c r="S83" s="540"/>
      <c r="T83" s="540"/>
      <c r="U83" s="540"/>
      <c r="V83" s="540"/>
    </row>
    <row r="84" spans="1:22" s="76" customFormat="1" ht="26.25" customHeight="1">
      <c r="A84" s="540" t="s">
        <v>117</v>
      </c>
      <c r="B84" s="540"/>
      <c r="C84" s="540"/>
      <c r="D84" s="540"/>
      <c r="E84" s="540"/>
      <c r="F84" s="540"/>
      <c r="G84" s="540"/>
      <c r="H84" s="540"/>
      <c r="I84" s="540"/>
      <c r="J84" s="540"/>
      <c r="K84" s="540"/>
      <c r="L84" s="540"/>
      <c r="M84" s="540"/>
      <c r="N84" s="540"/>
      <c r="O84" s="540"/>
      <c r="P84" s="540"/>
      <c r="Q84" s="540"/>
      <c r="R84" s="540"/>
      <c r="S84" s="540"/>
      <c r="T84" s="540"/>
      <c r="U84" s="540"/>
      <c r="V84" s="540"/>
    </row>
    <row r="85" spans="1:22" s="76" customFormat="1" ht="20.25" customHeight="1">
      <c r="A85" s="540" t="s">
        <v>118</v>
      </c>
      <c r="B85" s="540"/>
      <c r="C85" s="540"/>
      <c r="D85" s="540"/>
      <c r="E85" s="540"/>
      <c r="F85" s="540"/>
      <c r="G85" s="540"/>
      <c r="H85" s="540"/>
      <c r="I85" s="540"/>
      <c r="J85" s="540"/>
      <c r="K85" s="540"/>
      <c r="L85" s="540"/>
      <c r="M85" s="540"/>
      <c r="N85" s="540"/>
      <c r="O85" s="540"/>
      <c r="P85" s="540"/>
      <c r="Q85" s="540"/>
      <c r="R85" s="540"/>
      <c r="S85" s="540"/>
      <c r="T85" s="540"/>
      <c r="U85" s="540"/>
      <c r="V85" s="540"/>
    </row>
    <row r="86" spans="1:22" s="76" customFormat="1" ht="25.5" customHeight="1">
      <c r="A86" s="540" t="s">
        <v>119</v>
      </c>
      <c r="B86" s="540"/>
      <c r="C86" s="540"/>
      <c r="D86" s="540"/>
      <c r="E86" s="540"/>
      <c r="F86" s="540"/>
      <c r="G86" s="540"/>
      <c r="H86" s="540"/>
      <c r="I86" s="540"/>
      <c r="J86" s="540"/>
      <c r="K86" s="540"/>
      <c r="L86" s="540"/>
      <c r="M86" s="540"/>
      <c r="N86" s="540"/>
      <c r="O86" s="540"/>
      <c r="P86" s="540"/>
      <c r="Q86" s="540"/>
      <c r="R86" s="540"/>
      <c r="S86" s="540"/>
      <c r="T86" s="540"/>
      <c r="U86" s="540"/>
      <c r="V86" s="540"/>
    </row>
    <row r="87" spans="1:22" s="76" customFormat="1" ht="23.25" customHeight="1">
      <c r="A87" s="540" t="s">
        <v>100</v>
      </c>
      <c r="B87" s="540"/>
      <c r="C87" s="540"/>
      <c r="D87" s="540"/>
      <c r="E87" s="540"/>
      <c r="F87" s="540"/>
      <c r="G87" s="540"/>
      <c r="H87" s="540"/>
      <c r="I87" s="540"/>
      <c r="J87" s="540"/>
      <c r="K87" s="540"/>
      <c r="L87" s="540"/>
      <c r="M87" s="540"/>
      <c r="N87" s="540"/>
      <c r="O87" s="540"/>
      <c r="P87" s="540"/>
      <c r="Q87" s="540"/>
      <c r="R87" s="540"/>
      <c r="S87" s="540"/>
      <c r="T87" s="540"/>
      <c r="U87" s="540"/>
      <c r="V87" s="540"/>
    </row>
    <row r="88" spans="1:22" s="76" customFormat="1" ht="33.75" customHeight="1">
      <c r="A88" s="539" t="s">
        <v>120</v>
      </c>
      <c r="B88" s="539"/>
      <c r="C88" s="539"/>
      <c r="D88" s="539"/>
      <c r="E88" s="539"/>
      <c r="F88" s="539"/>
      <c r="G88" s="539"/>
      <c r="H88" s="539"/>
      <c r="I88" s="539"/>
      <c r="J88" s="539"/>
      <c r="K88" s="539"/>
      <c r="L88" s="539"/>
      <c r="M88" s="539"/>
      <c r="N88" s="539"/>
      <c r="O88" s="539"/>
      <c r="P88" s="539"/>
      <c r="Q88" s="539"/>
      <c r="R88" s="539"/>
      <c r="S88" s="539"/>
      <c r="T88" s="539"/>
      <c r="U88" s="539"/>
      <c r="V88" s="539"/>
    </row>
    <row r="89" spans="1:22" s="76" customFormat="1" ht="21" customHeight="1">
      <c r="A89" s="540" t="s">
        <v>121</v>
      </c>
      <c r="B89" s="540"/>
      <c r="C89" s="540"/>
      <c r="D89" s="540"/>
      <c r="E89" s="540"/>
      <c r="F89" s="540"/>
      <c r="G89" s="540"/>
      <c r="H89" s="540"/>
      <c r="I89" s="540"/>
      <c r="J89" s="540"/>
      <c r="K89" s="540"/>
      <c r="L89" s="540"/>
      <c r="M89" s="540"/>
      <c r="N89" s="540"/>
      <c r="O89" s="540"/>
      <c r="P89" s="540"/>
      <c r="Q89" s="540"/>
      <c r="R89" s="540"/>
      <c r="S89" s="540"/>
      <c r="T89" s="540"/>
      <c r="U89" s="540"/>
      <c r="V89" s="540"/>
    </row>
    <row r="90" spans="1:22" s="76" customFormat="1" ht="74.25" customHeight="1">
      <c r="A90" s="539" t="s">
        <v>101</v>
      </c>
      <c r="B90" s="539"/>
      <c r="C90" s="539"/>
      <c r="D90" s="539"/>
      <c r="E90" s="539"/>
      <c r="F90" s="539"/>
      <c r="G90" s="539"/>
      <c r="H90" s="539"/>
      <c r="I90" s="539"/>
      <c r="J90" s="539"/>
      <c r="K90" s="539"/>
      <c r="L90" s="539"/>
      <c r="M90" s="539"/>
      <c r="N90" s="539"/>
      <c r="O90" s="539"/>
      <c r="P90" s="539"/>
      <c r="Q90" s="539"/>
      <c r="R90" s="539"/>
      <c r="S90" s="539"/>
      <c r="T90" s="539"/>
      <c r="U90" s="539"/>
      <c r="V90" s="539"/>
    </row>
    <row r="91" spans="1:22" s="76" customFormat="1">
      <c r="A91" s="520"/>
      <c r="C91" s="78"/>
      <c r="E91" s="79"/>
      <c r="F91" s="80"/>
      <c r="G91" s="80"/>
      <c r="H91" s="80"/>
      <c r="I91" s="80"/>
      <c r="J91" s="80"/>
      <c r="K91" s="80"/>
      <c r="L91" s="80"/>
      <c r="M91" s="80"/>
      <c r="N91" s="80"/>
      <c r="O91" s="80"/>
      <c r="P91" s="80"/>
      <c r="Q91" s="80"/>
      <c r="R91" s="80"/>
      <c r="S91" s="80"/>
      <c r="T91" s="81"/>
      <c r="V91" s="82"/>
    </row>
    <row r="92" spans="1:22" s="76" customFormat="1">
      <c r="A92" s="520"/>
      <c r="C92" s="78"/>
      <c r="E92" s="79"/>
      <c r="F92" s="80"/>
      <c r="G92" s="80"/>
      <c r="H92" s="80"/>
      <c r="I92" s="80"/>
      <c r="J92" s="80"/>
      <c r="K92" s="80"/>
      <c r="L92" s="80"/>
      <c r="M92" s="80"/>
      <c r="N92" s="80"/>
      <c r="O92" s="80"/>
      <c r="P92" s="80"/>
      <c r="Q92" s="80"/>
      <c r="R92" s="80"/>
      <c r="S92" s="80"/>
      <c r="T92" s="81"/>
      <c r="V92" s="82"/>
    </row>
    <row r="93" spans="1:22" s="76" customFormat="1">
      <c r="A93" s="520"/>
      <c r="C93" s="78"/>
      <c r="E93" s="79"/>
      <c r="F93" s="80"/>
      <c r="G93" s="80"/>
      <c r="H93" s="80"/>
      <c r="I93" s="80"/>
      <c r="J93" s="80"/>
      <c r="K93" s="80"/>
      <c r="L93" s="80"/>
      <c r="M93" s="80"/>
      <c r="N93" s="80"/>
      <c r="O93" s="80"/>
      <c r="P93" s="80"/>
      <c r="Q93" s="80"/>
      <c r="R93" s="80"/>
      <c r="S93" s="80"/>
      <c r="T93" s="81"/>
      <c r="V93" s="82"/>
    </row>
    <row r="94" spans="1:22" s="76" customFormat="1">
      <c r="A94" s="520"/>
      <c r="C94" s="78"/>
      <c r="E94" s="79"/>
      <c r="F94" s="80"/>
      <c r="G94" s="80"/>
      <c r="H94" s="80"/>
      <c r="I94" s="80"/>
      <c r="J94" s="80"/>
      <c r="K94" s="80"/>
      <c r="L94" s="80"/>
      <c r="M94" s="80"/>
      <c r="N94" s="80"/>
      <c r="O94" s="80"/>
      <c r="P94" s="80"/>
      <c r="Q94" s="80"/>
      <c r="R94" s="80"/>
      <c r="S94" s="80"/>
      <c r="T94" s="81"/>
      <c r="V94" s="82"/>
    </row>
    <row r="95" spans="1:22" s="76" customFormat="1">
      <c r="A95" s="520"/>
      <c r="C95" s="78"/>
      <c r="E95" s="79"/>
      <c r="F95" s="80"/>
      <c r="G95" s="80"/>
      <c r="H95" s="80"/>
      <c r="I95" s="80"/>
      <c r="J95" s="80"/>
      <c r="K95" s="80"/>
      <c r="L95" s="80"/>
      <c r="M95" s="80"/>
      <c r="N95" s="80"/>
      <c r="O95" s="80"/>
      <c r="P95" s="80"/>
      <c r="Q95" s="80"/>
      <c r="R95" s="80"/>
      <c r="S95" s="80"/>
      <c r="T95" s="81"/>
      <c r="V95" s="82"/>
    </row>
    <row r="96" spans="1:22" s="76" customFormat="1">
      <c r="A96" s="520"/>
      <c r="C96" s="78"/>
      <c r="E96" s="79"/>
      <c r="F96" s="80"/>
      <c r="G96" s="80"/>
      <c r="H96" s="80"/>
      <c r="I96" s="80"/>
      <c r="J96" s="80"/>
      <c r="K96" s="80"/>
      <c r="L96" s="80"/>
      <c r="M96" s="80"/>
      <c r="N96" s="80"/>
      <c r="O96" s="80"/>
      <c r="P96" s="80"/>
      <c r="Q96" s="80"/>
      <c r="R96" s="80"/>
      <c r="S96" s="80"/>
      <c r="T96" s="81"/>
      <c r="V96" s="82"/>
    </row>
    <row r="97" spans="1:64" s="76" customFormat="1">
      <c r="A97" s="520"/>
      <c r="C97" s="78"/>
      <c r="E97" s="79"/>
      <c r="F97" s="80"/>
      <c r="G97" s="80"/>
      <c r="H97" s="80"/>
      <c r="I97" s="80"/>
      <c r="J97" s="80"/>
      <c r="K97" s="80"/>
      <c r="L97" s="80"/>
      <c r="M97" s="80"/>
      <c r="N97" s="80"/>
      <c r="O97" s="80"/>
      <c r="P97" s="80"/>
      <c r="Q97" s="80"/>
      <c r="R97" s="80"/>
      <c r="S97" s="80"/>
      <c r="T97" s="81"/>
      <c r="V97" s="82"/>
    </row>
    <row r="98" spans="1:64" s="76" customFormat="1">
      <c r="A98" s="520"/>
      <c r="C98" s="78"/>
      <c r="E98" s="79"/>
      <c r="F98" s="80"/>
      <c r="G98" s="80"/>
      <c r="H98" s="80"/>
      <c r="I98" s="80"/>
      <c r="J98" s="80"/>
      <c r="K98" s="80"/>
      <c r="L98" s="80"/>
      <c r="M98" s="80"/>
      <c r="N98" s="80"/>
      <c r="O98" s="80"/>
      <c r="P98" s="80"/>
      <c r="Q98" s="80"/>
      <c r="R98" s="80"/>
      <c r="S98" s="80"/>
      <c r="T98" s="81"/>
      <c r="V98" s="82"/>
    </row>
    <row r="99" spans="1:64" s="76" customFormat="1">
      <c r="A99" s="520"/>
      <c r="C99" s="78"/>
      <c r="E99" s="79"/>
      <c r="F99" s="80"/>
      <c r="G99" s="80"/>
      <c r="H99" s="80"/>
      <c r="I99" s="80"/>
      <c r="J99" s="80"/>
      <c r="K99" s="80"/>
      <c r="L99" s="80"/>
      <c r="M99" s="80"/>
      <c r="N99" s="80"/>
      <c r="O99" s="80"/>
      <c r="P99" s="80"/>
      <c r="Q99" s="80"/>
      <c r="R99" s="80"/>
      <c r="S99" s="80"/>
      <c r="T99" s="81"/>
      <c r="V99" s="82"/>
    </row>
    <row r="100" spans="1:64" s="76" customFormat="1">
      <c r="A100" s="520"/>
      <c r="C100" s="78"/>
      <c r="E100" s="79"/>
      <c r="F100" s="80"/>
      <c r="G100" s="80"/>
      <c r="H100" s="80"/>
      <c r="I100" s="80"/>
      <c r="J100" s="80"/>
      <c r="K100" s="80"/>
      <c r="L100" s="80"/>
      <c r="M100" s="80"/>
      <c r="N100" s="80"/>
      <c r="O100" s="80"/>
      <c r="P100" s="80"/>
      <c r="Q100" s="80"/>
      <c r="R100" s="80"/>
      <c r="S100" s="80"/>
      <c r="T100" s="81"/>
      <c r="V100" s="82"/>
    </row>
    <row r="101" spans="1:64" s="76" customFormat="1">
      <c r="A101" s="520"/>
      <c r="C101" s="78"/>
      <c r="E101" s="79"/>
      <c r="F101" s="80"/>
      <c r="G101" s="80"/>
      <c r="H101" s="80"/>
      <c r="I101" s="80"/>
      <c r="J101" s="80"/>
      <c r="K101" s="80"/>
      <c r="L101" s="80"/>
      <c r="M101" s="80"/>
      <c r="N101" s="80"/>
      <c r="O101" s="80"/>
      <c r="P101" s="80"/>
      <c r="Q101" s="80"/>
      <c r="R101" s="80"/>
      <c r="S101" s="80"/>
      <c r="T101" s="81"/>
      <c r="V101" s="82"/>
    </row>
    <row r="102" spans="1:64" s="76" customFormat="1">
      <c r="A102" s="520"/>
      <c r="C102" s="78"/>
      <c r="E102" s="79"/>
      <c r="F102" s="80"/>
      <c r="G102" s="80"/>
      <c r="H102" s="80"/>
      <c r="I102" s="80"/>
      <c r="J102" s="80"/>
      <c r="K102" s="80"/>
      <c r="L102" s="80"/>
      <c r="M102" s="80"/>
      <c r="N102" s="80"/>
      <c r="O102" s="80"/>
      <c r="P102" s="80"/>
      <c r="Q102" s="80"/>
      <c r="R102" s="80"/>
      <c r="S102" s="80"/>
      <c r="T102" s="81"/>
      <c r="V102" s="82"/>
    </row>
    <row r="103" spans="1:64" s="76" customFormat="1">
      <c r="A103" s="520"/>
      <c r="C103" s="78"/>
      <c r="E103" s="79"/>
      <c r="F103" s="80"/>
      <c r="G103" s="80"/>
      <c r="H103" s="80"/>
      <c r="I103" s="80"/>
      <c r="J103" s="80"/>
      <c r="K103" s="80"/>
      <c r="L103" s="80"/>
      <c r="M103" s="80"/>
      <c r="N103" s="80"/>
      <c r="O103" s="80"/>
      <c r="P103" s="80"/>
      <c r="Q103" s="80"/>
      <c r="R103" s="80"/>
      <c r="S103" s="80"/>
      <c r="T103" s="81"/>
      <c r="V103" s="82"/>
    </row>
    <row r="104" spans="1:64" s="76" customFormat="1">
      <c r="A104" s="520"/>
      <c r="C104" s="78"/>
      <c r="E104" s="79"/>
      <c r="F104" s="80"/>
      <c r="G104" s="80"/>
      <c r="H104" s="80"/>
      <c r="I104" s="80"/>
      <c r="J104" s="80"/>
      <c r="K104" s="80"/>
      <c r="L104" s="80"/>
      <c r="M104" s="80"/>
      <c r="N104" s="80"/>
      <c r="O104" s="80"/>
      <c r="P104" s="80"/>
      <c r="Q104" s="80"/>
      <c r="R104" s="80"/>
      <c r="S104" s="80"/>
      <c r="T104" s="81"/>
      <c r="V104" s="82"/>
    </row>
    <row r="105" spans="1:64" s="76" customFormat="1">
      <c r="A105" s="520"/>
      <c r="C105" s="78"/>
      <c r="E105" s="79"/>
      <c r="F105" s="80"/>
      <c r="G105" s="80"/>
      <c r="H105" s="80"/>
      <c r="I105" s="80"/>
      <c r="J105" s="80"/>
      <c r="K105" s="80"/>
      <c r="L105" s="80"/>
      <c r="M105" s="80"/>
      <c r="N105" s="80"/>
      <c r="O105" s="80"/>
      <c r="P105" s="80"/>
      <c r="Q105" s="80"/>
      <c r="R105" s="80"/>
      <c r="S105" s="80"/>
      <c r="T105" s="81"/>
      <c r="V105" s="82"/>
    </row>
    <row r="112" spans="1:64">
      <c r="A112" s="522"/>
      <c r="B112" s="69"/>
      <c r="C112" s="528"/>
      <c r="D112" s="70"/>
      <c r="E112" s="74"/>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row>
    <row r="113" spans="1:64">
      <c r="A113" s="523"/>
      <c r="B113" s="70"/>
      <c r="C113" s="528"/>
      <c r="D113" s="70"/>
      <c r="E113" s="74"/>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row>
  </sheetData>
  <mergeCells count="39">
    <mergeCell ref="A87:V87"/>
    <mergeCell ref="A88:V88"/>
    <mergeCell ref="A89:V89"/>
    <mergeCell ref="A90:V90"/>
    <mergeCell ref="A81:V81"/>
    <mergeCell ref="A82:V82"/>
    <mergeCell ref="A83:V83"/>
    <mergeCell ref="A84:V84"/>
    <mergeCell ref="A85:V85"/>
    <mergeCell ref="A86:V86"/>
    <mergeCell ref="A80:V80"/>
    <mergeCell ref="A70:V70"/>
    <mergeCell ref="A71:V71"/>
    <mergeCell ref="A72:V72"/>
    <mergeCell ref="A73:V73"/>
    <mergeCell ref="A74:V74"/>
    <mergeCell ref="A75:V75"/>
    <mergeCell ref="A76:V76"/>
    <mergeCell ref="A77:V77"/>
    <mergeCell ref="A78:V78"/>
    <mergeCell ref="A79:V79"/>
    <mergeCell ref="A69:V69"/>
    <mergeCell ref="A47:V47"/>
    <mergeCell ref="A48:V48"/>
    <mergeCell ref="A49:V49"/>
    <mergeCell ref="A60:V60"/>
    <mergeCell ref="A61:V61"/>
    <mergeCell ref="A63:V63"/>
    <mergeCell ref="A64:V64"/>
    <mergeCell ref="A65:V65"/>
    <mergeCell ref="A66:V66"/>
    <mergeCell ref="A67:V67"/>
    <mergeCell ref="A68:V68"/>
    <mergeCell ref="A46:V46"/>
    <mergeCell ref="F3:G3"/>
    <mergeCell ref="I3:J3"/>
    <mergeCell ref="L3:M3"/>
    <mergeCell ref="O3:P3"/>
    <mergeCell ref="R3:S3"/>
  </mergeCells>
  <printOptions horizontalCentered="1" gridLines="1"/>
  <pageMargins left="0.19685039370078741" right="0.19685039370078741" top="0.19685039370078741" bottom="0.19685039370078741" header="0.15748031496062992" footer="0.23622047244094491"/>
  <pageSetup paperSize="9" scale="71" fitToHeight="2"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89"/>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11" customWidth="1"/>
    <col min="5" max="5" width="8.7109375" style="2" customWidth="1"/>
    <col min="6" max="7" width="12.7109375" style="2" customWidth="1"/>
    <col min="8" max="8" width="8.7109375" style="2" customWidth="1"/>
    <col min="9" max="10" width="12.7109375" style="2" customWidth="1"/>
    <col min="11" max="11" width="8.7109375" style="2" customWidth="1"/>
    <col min="12" max="13" width="12.7109375" style="2" customWidth="1"/>
    <col min="14" max="14" width="8.7109375" style="2" customWidth="1"/>
    <col min="15" max="16" width="12.7109375" style="2" customWidth="1"/>
    <col min="17" max="17" width="8.7109375" style="2" customWidth="1"/>
    <col min="18" max="19" width="12.7109375" style="2" customWidth="1"/>
    <col min="20" max="20" width="12.7109375" style="11" customWidth="1"/>
    <col min="21" max="21" width="5" style="2" bestFit="1" customWidth="1"/>
    <col min="22" max="22" width="15.42578125" style="13" customWidth="1"/>
    <col min="23" max="23" width="12.7109375" style="4" hidden="1" customWidth="1"/>
    <col min="24" max="29" width="12.7109375" style="4" customWidth="1"/>
    <col min="30" max="16384" width="9.140625" style="4"/>
  </cols>
  <sheetData>
    <row r="1" spans="1:23" s="43" customFormat="1" ht="30" customHeight="1">
      <c r="A1" s="514" t="s">
        <v>41</v>
      </c>
      <c r="B1" s="102"/>
      <c r="C1" s="508"/>
      <c r="D1" s="49"/>
      <c r="E1" s="45"/>
      <c r="F1" s="45"/>
      <c r="G1" s="45"/>
      <c r="H1" s="45"/>
      <c r="I1" s="45"/>
      <c r="J1" s="45"/>
      <c r="K1" s="45"/>
      <c r="L1" s="45"/>
      <c r="M1" s="45"/>
      <c r="N1" s="45"/>
      <c r="O1" s="45"/>
      <c r="P1" s="45"/>
      <c r="Q1" s="45"/>
      <c r="R1" s="45"/>
      <c r="S1" s="45"/>
      <c r="T1" s="49"/>
      <c r="U1" s="45"/>
      <c r="V1" s="51"/>
    </row>
    <row r="2" spans="1:23" s="43" customFormat="1" ht="30" customHeight="1">
      <c r="A2" s="514" t="s">
        <v>103</v>
      </c>
      <c r="B2" s="102"/>
      <c r="C2" s="508"/>
      <c r="D2" s="49"/>
      <c r="E2" s="45"/>
      <c r="F2" s="45"/>
      <c r="G2" s="45"/>
      <c r="H2" s="45"/>
      <c r="I2" s="45"/>
      <c r="J2" s="45"/>
      <c r="K2" s="45"/>
      <c r="L2" s="45"/>
      <c r="M2" s="45"/>
      <c r="N2" s="45"/>
      <c r="O2" s="45"/>
      <c r="P2" s="45"/>
      <c r="Q2" s="45"/>
      <c r="R2" s="45"/>
      <c r="S2" s="45"/>
      <c r="T2" s="49"/>
      <c r="U2" s="45"/>
      <c r="V2" s="51"/>
    </row>
    <row r="3" spans="1:23" s="43" customFormat="1" ht="30" customHeight="1">
      <c r="A3" s="514"/>
      <c r="B3" s="102"/>
      <c r="C3" s="508"/>
      <c r="D3" s="49"/>
      <c r="E3" s="45"/>
      <c r="F3" s="546" t="s">
        <v>248</v>
      </c>
      <c r="G3" s="547"/>
      <c r="H3" s="45"/>
      <c r="I3" s="546" t="s">
        <v>248</v>
      </c>
      <c r="J3" s="547"/>
      <c r="K3" s="45"/>
      <c r="L3" s="546" t="s">
        <v>248</v>
      </c>
      <c r="M3" s="547"/>
      <c r="N3" s="45"/>
      <c r="O3" s="546" t="s">
        <v>248</v>
      </c>
      <c r="P3" s="547"/>
      <c r="Q3" s="45"/>
      <c r="R3" s="546" t="s">
        <v>248</v>
      </c>
      <c r="S3" s="547"/>
      <c r="T3" s="49"/>
      <c r="U3" s="45"/>
      <c r="V3" s="51"/>
    </row>
    <row r="4" spans="1:23"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44" t="s">
        <v>33</v>
      </c>
      <c r="B5" s="381">
        <v>0</v>
      </c>
      <c r="C5" s="270" t="s">
        <v>250</v>
      </c>
      <c r="D5" s="384" t="s">
        <v>5</v>
      </c>
      <c r="E5" s="363" t="s">
        <v>5</v>
      </c>
      <c r="F5" s="390" t="s">
        <v>5</v>
      </c>
      <c r="G5" s="404" t="s">
        <v>5</v>
      </c>
      <c r="H5" s="364"/>
      <c r="I5" s="390"/>
      <c r="J5" s="404"/>
      <c r="K5" s="364"/>
      <c r="L5" s="390"/>
      <c r="M5" s="404"/>
      <c r="N5" s="364"/>
      <c r="O5" s="390"/>
      <c r="P5" s="404"/>
      <c r="Q5" s="364"/>
      <c r="R5" s="390"/>
      <c r="S5" s="404"/>
      <c r="T5" s="206" t="s">
        <v>5</v>
      </c>
      <c r="U5" s="270" t="s">
        <v>5</v>
      </c>
      <c r="V5" s="370" t="s">
        <v>5</v>
      </c>
      <c r="W5" s="4" t="str">
        <f>IF(U5="TY","A",IF(U5="TY/TYs","AB",IF(U5="TYs", "B",IF(U5="TC","C",IF(U5="-","",)))))</f>
        <v/>
      </c>
    </row>
    <row r="6" spans="1:23" ht="15" customHeight="1">
      <c r="A6" s="339" t="s">
        <v>50</v>
      </c>
      <c r="B6" s="266">
        <v>1</v>
      </c>
      <c r="C6" s="28" t="s">
        <v>7</v>
      </c>
      <c r="D6" s="302" t="s">
        <v>5</v>
      </c>
      <c r="E6" s="127">
        <f>3.95+3+10.25+(0.5+0.5)*6/7</f>
        <v>18.057142857142857</v>
      </c>
      <c r="F6" s="145" t="str">
        <f>"["&amp;341.16*14&amp;"]"</f>
        <v>[4776.24]</v>
      </c>
      <c r="G6" s="146">
        <f>3840*14</f>
        <v>53760</v>
      </c>
      <c r="H6" s="175" t="s">
        <v>5</v>
      </c>
      <c r="I6" s="400" t="s">
        <v>5</v>
      </c>
      <c r="J6" s="396" t="s">
        <v>5</v>
      </c>
      <c r="K6" s="175" t="s">
        <v>5</v>
      </c>
      <c r="L6" s="400" t="s">
        <v>5</v>
      </c>
      <c r="M6" s="396" t="s">
        <v>5</v>
      </c>
      <c r="N6" s="175" t="s">
        <v>5</v>
      </c>
      <c r="O6" s="400" t="s">
        <v>5</v>
      </c>
      <c r="P6" s="396" t="s">
        <v>5</v>
      </c>
      <c r="Q6" s="175" t="s">
        <v>5</v>
      </c>
      <c r="R6" s="400" t="s">
        <v>5</v>
      </c>
      <c r="S6" s="396" t="s">
        <v>5</v>
      </c>
      <c r="T6" s="192">
        <f>G6*E6/100</f>
        <v>9707.52</v>
      </c>
      <c r="U6" s="19" t="s">
        <v>6</v>
      </c>
      <c r="V6" s="371">
        <v>100</v>
      </c>
      <c r="W6" s="4" t="str">
        <f t="shared" ref="W6:W45" si="0">IF(U6="TY","A",IF(U6="TY/TYs","AB",IF(U6="TYs", "B",IF(U6="TC","C",IF(U6="-","",)))))</f>
        <v>A</v>
      </c>
    </row>
    <row r="7" spans="1:23" ht="15" customHeight="1">
      <c r="A7" s="235" t="s">
        <v>26</v>
      </c>
      <c r="B7" s="266">
        <v>1</v>
      </c>
      <c r="C7" s="19" t="s">
        <v>7</v>
      </c>
      <c r="D7" s="302" t="s">
        <v>5</v>
      </c>
      <c r="E7" s="127">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4" t="str">
        <f t="shared" si="0"/>
        <v>A</v>
      </c>
    </row>
    <row r="8" spans="1:23" ht="15" customHeight="1">
      <c r="A8" s="235" t="s">
        <v>49</v>
      </c>
      <c r="B8" s="266">
        <v>1</v>
      </c>
      <c r="C8" s="19" t="s">
        <v>8</v>
      </c>
      <c r="D8" s="303" t="s">
        <v>5</v>
      </c>
      <c r="E8" s="127">
        <f>0.018*100</f>
        <v>1.7999999999999998</v>
      </c>
      <c r="F8" s="145">
        <v>0</v>
      </c>
      <c r="G8" s="146">
        <v>3500</v>
      </c>
      <c r="H8" s="127">
        <f>E8+(0.0495*100)</f>
        <v>6.75</v>
      </c>
      <c r="I8" s="145">
        <f>G8</f>
        <v>3500</v>
      </c>
      <c r="J8" s="146">
        <f>720/0.018</f>
        <v>40000</v>
      </c>
      <c r="K8" s="127">
        <f>0.0495*100</f>
        <v>4.95</v>
      </c>
      <c r="L8" s="145">
        <f>J8</f>
        <v>40000</v>
      </c>
      <c r="M8" s="146">
        <f>(1989.9/0.0495)+3500</f>
        <v>43700</v>
      </c>
      <c r="N8" s="175" t="s">
        <v>5</v>
      </c>
      <c r="O8" s="400" t="s">
        <v>5</v>
      </c>
      <c r="P8" s="396" t="s">
        <v>5</v>
      </c>
      <c r="Q8" s="175" t="s">
        <v>5</v>
      </c>
      <c r="R8" s="400" t="s">
        <v>5</v>
      </c>
      <c r="S8" s="396" t="s">
        <v>5</v>
      </c>
      <c r="T8" s="192">
        <f>(G8-F8)*E8/100 + (J8-I8)*H8/100 + (M8-L8)*K8/100</f>
        <v>2709.9</v>
      </c>
      <c r="U8" s="67" t="s">
        <v>5</v>
      </c>
      <c r="V8" s="372" t="s">
        <v>5</v>
      </c>
      <c r="W8" s="4" t="str">
        <f t="shared" si="0"/>
        <v/>
      </c>
    </row>
    <row r="9" spans="1:23" ht="15" customHeight="1">
      <c r="A9" s="235" t="s">
        <v>66</v>
      </c>
      <c r="B9" s="266">
        <v>1</v>
      </c>
      <c r="C9" s="19" t="s">
        <v>7</v>
      </c>
      <c r="D9" s="303" t="s">
        <v>5</v>
      </c>
      <c r="E9" s="127">
        <f>0.07*100</f>
        <v>7.0000000000000009</v>
      </c>
      <c r="F9" s="145">
        <v>0</v>
      </c>
      <c r="G9" s="146">
        <f>14128315.2/12</f>
        <v>1177359.5999999999</v>
      </c>
      <c r="H9" s="175" t="s">
        <v>5</v>
      </c>
      <c r="I9" s="400" t="s">
        <v>5</v>
      </c>
      <c r="J9" s="396" t="s">
        <v>5</v>
      </c>
      <c r="K9" s="175" t="s">
        <v>5</v>
      </c>
      <c r="L9" s="400" t="s">
        <v>5</v>
      </c>
      <c r="M9" s="396" t="s">
        <v>5</v>
      </c>
      <c r="N9" s="175" t="s">
        <v>5</v>
      </c>
      <c r="O9" s="400" t="s">
        <v>5</v>
      </c>
      <c r="P9" s="396" t="s">
        <v>5</v>
      </c>
      <c r="Q9" s="175" t="s">
        <v>5</v>
      </c>
      <c r="R9" s="400" t="s">
        <v>5</v>
      </c>
      <c r="S9" s="396" t="s">
        <v>5</v>
      </c>
      <c r="T9" s="192">
        <f>E9/100*G9</f>
        <v>82415.171999999991</v>
      </c>
      <c r="U9" s="19" t="s">
        <v>5</v>
      </c>
      <c r="V9" s="371" t="s">
        <v>5</v>
      </c>
      <c r="W9" s="4" t="str">
        <f t="shared" si="0"/>
        <v/>
      </c>
    </row>
    <row r="10" spans="1:23" ht="15" customHeight="1">
      <c r="A10" s="235" t="s">
        <v>22</v>
      </c>
      <c r="B10" s="266">
        <v>1</v>
      </c>
      <c r="C10" s="28" t="s">
        <v>7</v>
      </c>
      <c r="D10" s="304" t="s">
        <v>5</v>
      </c>
      <c r="E10" s="127">
        <f>0.125*100</f>
        <v>12.5</v>
      </c>
      <c r="F10" s="319" t="s">
        <v>5</v>
      </c>
      <c r="G10" s="320" t="s">
        <v>5</v>
      </c>
      <c r="H10" s="163" t="s">
        <v>5</v>
      </c>
      <c r="I10" s="395" t="s">
        <v>5</v>
      </c>
      <c r="J10" s="472" t="s">
        <v>5</v>
      </c>
      <c r="K10" s="163" t="s">
        <v>5</v>
      </c>
      <c r="L10" s="395" t="s">
        <v>5</v>
      </c>
      <c r="M10" s="472" t="s">
        <v>5</v>
      </c>
      <c r="N10" s="163" t="s">
        <v>5</v>
      </c>
      <c r="O10" s="395" t="s">
        <v>5</v>
      </c>
      <c r="P10" s="472" t="s">
        <v>5</v>
      </c>
      <c r="Q10" s="163" t="s">
        <v>5</v>
      </c>
      <c r="R10" s="395" t="s">
        <v>5</v>
      </c>
      <c r="S10" s="472" t="s">
        <v>5</v>
      </c>
      <c r="T10" s="193" t="s">
        <v>5</v>
      </c>
      <c r="U10" s="28" t="s">
        <v>6</v>
      </c>
      <c r="V10" s="373">
        <v>100</v>
      </c>
      <c r="W10" s="4" t="str">
        <f t="shared" si="0"/>
        <v>A</v>
      </c>
    </row>
    <row r="11" spans="1:23" ht="15" customHeight="1">
      <c r="A11" s="235" t="s">
        <v>67</v>
      </c>
      <c r="B11" s="266">
        <v>1</v>
      </c>
      <c r="C11" s="19" t="s">
        <v>8</v>
      </c>
      <c r="D11" s="385">
        <v>975.6</v>
      </c>
      <c r="E11" s="207" t="s">
        <v>5</v>
      </c>
      <c r="F11" s="395" t="s">
        <v>5</v>
      </c>
      <c r="G11" s="396" t="s">
        <v>5</v>
      </c>
      <c r="H11" s="175" t="s">
        <v>5</v>
      </c>
      <c r="I11" s="400" t="s">
        <v>5</v>
      </c>
      <c r="J11" s="396" t="s">
        <v>5</v>
      </c>
      <c r="K11" s="175" t="s">
        <v>5</v>
      </c>
      <c r="L11" s="400" t="s">
        <v>5</v>
      </c>
      <c r="M11" s="396" t="s">
        <v>5</v>
      </c>
      <c r="N11" s="175" t="s">
        <v>5</v>
      </c>
      <c r="O11" s="400" t="s">
        <v>5</v>
      </c>
      <c r="P11" s="396" t="s">
        <v>5</v>
      </c>
      <c r="Q11" s="175" t="s">
        <v>5</v>
      </c>
      <c r="R11" s="400" t="s">
        <v>5</v>
      </c>
      <c r="S11" s="396" t="s">
        <v>5</v>
      </c>
      <c r="T11" s="188" t="s">
        <v>5</v>
      </c>
      <c r="U11" s="19" t="s">
        <v>6</v>
      </c>
      <c r="V11" s="374">
        <v>100</v>
      </c>
      <c r="W11" s="4" t="str">
        <f t="shared" si="0"/>
        <v>A</v>
      </c>
    </row>
    <row r="12" spans="1:23" ht="15" customHeight="1">
      <c r="A12" s="235" t="s">
        <v>58</v>
      </c>
      <c r="B12" s="266">
        <v>1</v>
      </c>
      <c r="C12" s="19" t="s">
        <v>7</v>
      </c>
      <c r="D12" s="302" t="s">
        <v>5</v>
      </c>
      <c r="E12" s="127">
        <f>0.006*100</f>
        <v>0.6</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19" t="s">
        <v>6</v>
      </c>
      <c r="V12" s="374">
        <v>100</v>
      </c>
      <c r="W12" s="4" t="str">
        <f t="shared" si="0"/>
        <v>A</v>
      </c>
    </row>
    <row r="13" spans="1:23" ht="15" customHeight="1">
      <c r="A13" s="235" t="s">
        <v>9</v>
      </c>
      <c r="B13" s="266">
        <v>1</v>
      </c>
      <c r="C13" s="19" t="s">
        <v>10</v>
      </c>
      <c r="D13" s="306" t="s">
        <v>5</v>
      </c>
      <c r="E13" s="127">
        <f>0.0128*100</f>
        <v>1.28</v>
      </c>
      <c r="F13" s="145" t="s">
        <v>5</v>
      </c>
      <c r="G13" s="146" t="s">
        <v>5</v>
      </c>
      <c r="H13" s="175" t="s">
        <v>5</v>
      </c>
      <c r="I13" s="400" t="s">
        <v>5</v>
      </c>
      <c r="J13" s="396" t="s">
        <v>5</v>
      </c>
      <c r="K13" s="175" t="s">
        <v>5</v>
      </c>
      <c r="L13" s="400" t="s">
        <v>5</v>
      </c>
      <c r="M13" s="396" t="s">
        <v>5</v>
      </c>
      <c r="N13" s="175" t="s">
        <v>5</v>
      </c>
      <c r="O13" s="400" t="s">
        <v>5</v>
      </c>
      <c r="P13" s="396" t="s">
        <v>5</v>
      </c>
      <c r="Q13" s="175" t="s">
        <v>5</v>
      </c>
      <c r="R13" s="400" t="s">
        <v>5</v>
      </c>
      <c r="S13" s="396" t="s">
        <v>5</v>
      </c>
      <c r="T13" s="192" t="s">
        <v>5</v>
      </c>
      <c r="U13" s="19" t="s">
        <v>5</v>
      </c>
      <c r="V13" s="371" t="s">
        <v>5</v>
      </c>
      <c r="W13" s="4" t="str">
        <f t="shared" si="0"/>
        <v/>
      </c>
    </row>
    <row r="14" spans="1:23" ht="15" customHeight="1">
      <c r="A14" s="235" t="s">
        <v>9</v>
      </c>
      <c r="B14" s="266">
        <v>2</v>
      </c>
      <c r="C14" s="19" t="s">
        <v>8</v>
      </c>
      <c r="D14" s="306" t="s">
        <v>5</v>
      </c>
      <c r="E14" s="127">
        <f>0.0563*100</f>
        <v>5.63</v>
      </c>
      <c r="F14" s="145" t="s">
        <v>5</v>
      </c>
      <c r="G14" s="146" t="s">
        <v>5</v>
      </c>
      <c r="H14" s="175" t="s">
        <v>5</v>
      </c>
      <c r="I14" s="400" t="s">
        <v>5</v>
      </c>
      <c r="J14" s="396" t="s">
        <v>5</v>
      </c>
      <c r="K14" s="175" t="s">
        <v>5</v>
      </c>
      <c r="L14" s="400" t="s">
        <v>5</v>
      </c>
      <c r="M14" s="396" t="s">
        <v>5</v>
      </c>
      <c r="N14" s="175" t="s">
        <v>5</v>
      </c>
      <c r="O14" s="400" t="s">
        <v>5</v>
      </c>
      <c r="P14" s="396" t="s">
        <v>5</v>
      </c>
      <c r="Q14" s="175" t="s">
        <v>5</v>
      </c>
      <c r="R14" s="400" t="s">
        <v>5</v>
      </c>
      <c r="S14" s="396" t="s">
        <v>5</v>
      </c>
      <c r="T14" s="192" t="s">
        <v>5</v>
      </c>
      <c r="U14" s="19" t="s">
        <v>6</v>
      </c>
      <c r="V14" s="371">
        <v>100</v>
      </c>
      <c r="W14" s="4" t="str">
        <f t="shared" si="0"/>
        <v>A</v>
      </c>
    </row>
    <row r="15" spans="1:23" ht="15" customHeight="1">
      <c r="A15" s="235" t="s">
        <v>48</v>
      </c>
      <c r="B15" s="266">
        <v>1</v>
      </c>
      <c r="C15" s="19" t="s">
        <v>8</v>
      </c>
      <c r="D15" s="303" t="s">
        <v>5</v>
      </c>
      <c r="E15" s="127">
        <f>(0.0665+0.0075+0.024+0.038+0.001)*100</f>
        <v>13.700000000000001</v>
      </c>
      <c r="F15" s="145">
        <v>0</v>
      </c>
      <c r="G15" s="146">
        <v>32184</v>
      </c>
      <c r="H15" s="127">
        <f>(0.0075+0.024+0.089+0.001)*100</f>
        <v>12.15</v>
      </c>
      <c r="I15" s="145">
        <f>+G15</f>
        <v>32184</v>
      </c>
      <c r="J15" s="146">
        <f>3*G15</f>
        <v>96552</v>
      </c>
      <c r="K15" s="127">
        <f>(0.0075+0.024+0.001)*100</f>
        <v>3.25</v>
      </c>
      <c r="L15" s="145">
        <f>+J15</f>
        <v>96552</v>
      </c>
      <c r="M15" s="146">
        <f>4*G15</f>
        <v>128736</v>
      </c>
      <c r="N15" s="127">
        <f>(0.0075+0.001)*100</f>
        <v>0.85000000000000009</v>
      </c>
      <c r="O15" s="145">
        <f>+M15</f>
        <v>128736</v>
      </c>
      <c r="P15" s="396" t="s">
        <v>5</v>
      </c>
      <c r="Q15" s="175" t="s">
        <v>5</v>
      </c>
      <c r="R15" s="400" t="s">
        <v>5</v>
      </c>
      <c r="S15" s="396" t="s">
        <v>5</v>
      </c>
      <c r="T15" s="188" t="s">
        <v>5</v>
      </c>
      <c r="U15" s="19" t="s">
        <v>6</v>
      </c>
      <c r="V15" s="371">
        <f>E15*100/E15</f>
        <v>99.999999999999986</v>
      </c>
      <c r="W15" s="4" t="str">
        <f t="shared" si="0"/>
        <v>A</v>
      </c>
    </row>
    <row r="16" spans="1:23" ht="15" customHeight="1">
      <c r="A16" s="272" t="s">
        <v>54</v>
      </c>
      <c r="B16" s="266">
        <v>1</v>
      </c>
      <c r="C16" s="19" t="s">
        <v>8</v>
      </c>
      <c r="D16" s="303" t="s">
        <v>5</v>
      </c>
      <c r="E16" s="127">
        <f>(0.0995+0.08+0.021+0.0085)*100</f>
        <v>20.9</v>
      </c>
      <c r="F16" s="145">
        <v>0</v>
      </c>
      <c r="G16" s="146">
        <v>42750</v>
      </c>
      <c r="H16" s="127">
        <f>(0.0995+0.021)*100</f>
        <v>12.05</v>
      </c>
      <c r="I16" s="145">
        <f>G16</f>
        <v>42750</v>
      </c>
      <c r="J16" s="146">
        <v>63000</v>
      </c>
      <c r="K16" s="175" t="s">
        <v>5</v>
      </c>
      <c r="L16" s="400" t="s">
        <v>5</v>
      </c>
      <c r="M16" s="396" t="s">
        <v>5</v>
      </c>
      <c r="N16" s="175" t="s">
        <v>5</v>
      </c>
      <c r="O16" s="400" t="s">
        <v>5</v>
      </c>
      <c r="P16" s="396" t="s">
        <v>5</v>
      </c>
      <c r="Q16" s="175" t="s">
        <v>5</v>
      </c>
      <c r="R16" s="400" t="s">
        <v>5</v>
      </c>
      <c r="S16" s="396" t="s">
        <v>5</v>
      </c>
      <c r="T16" s="192">
        <f>(G16-F16)*E16/100 + (J16-I16)*H16/100</f>
        <v>11374.874999999998</v>
      </c>
      <c r="U16" s="19" t="s">
        <v>6</v>
      </c>
      <c r="V16" s="375" t="s">
        <v>218</v>
      </c>
      <c r="W16" s="4" t="str">
        <f t="shared" si="0"/>
        <v>A</v>
      </c>
    </row>
    <row r="17" spans="1:23" ht="15" customHeight="1">
      <c r="A17" s="235" t="s">
        <v>53</v>
      </c>
      <c r="B17" s="266">
        <v>1</v>
      </c>
      <c r="C17" s="19" t="s">
        <v>7</v>
      </c>
      <c r="D17" s="306" t="s">
        <v>5</v>
      </c>
      <c r="E17" s="127">
        <v>16</v>
      </c>
      <c r="F17" s="114">
        <v>0</v>
      </c>
      <c r="G17" s="115">
        <f>63355.2/14</f>
        <v>4525.3714285714286</v>
      </c>
      <c r="H17" s="120" t="s">
        <v>5</v>
      </c>
      <c r="I17" s="219" t="s">
        <v>5</v>
      </c>
      <c r="J17" s="180" t="s">
        <v>5</v>
      </c>
      <c r="K17" s="120" t="s">
        <v>5</v>
      </c>
      <c r="L17" s="219" t="s">
        <v>5</v>
      </c>
      <c r="M17" s="180" t="s">
        <v>5</v>
      </c>
      <c r="N17" s="120" t="s">
        <v>5</v>
      </c>
      <c r="O17" s="219" t="s">
        <v>5</v>
      </c>
      <c r="P17" s="180" t="s">
        <v>5</v>
      </c>
      <c r="Q17" s="120" t="s">
        <v>5</v>
      </c>
      <c r="R17" s="219" t="s">
        <v>5</v>
      </c>
      <c r="S17" s="180" t="s">
        <v>5</v>
      </c>
      <c r="T17" s="192">
        <f>G17*E17/100</f>
        <v>724.05942857142861</v>
      </c>
      <c r="U17" s="19" t="s">
        <v>6</v>
      </c>
      <c r="V17" s="371">
        <v>100</v>
      </c>
      <c r="W17" s="4" t="str">
        <f t="shared" si="0"/>
        <v>A</v>
      </c>
    </row>
    <row r="18" spans="1:23" ht="15" customHeight="1">
      <c r="A18" s="235" t="s">
        <v>23</v>
      </c>
      <c r="B18" s="266">
        <v>1</v>
      </c>
      <c r="C18" s="19" t="s">
        <v>8</v>
      </c>
      <c r="D18" s="302" t="s">
        <v>5</v>
      </c>
      <c r="E18" s="127">
        <f>0.085*100</f>
        <v>8.5</v>
      </c>
      <c r="F18" s="145">
        <v>0</v>
      </c>
      <c r="G18" s="146">
        <v>6748850</v>
      </c>
      <c r="H18" s="175" t="s">
        <v>5</v>
      </c>
      <c r="I18" s="400" t="s">
        <v>5</v>
      </c>
      <c r="J18" s="396" t="s">
        <v>5</v>
      </c>
      <c r="K18" s="175" t="s">
        <v>5</v>
      </c>
      <c r="L18" s="400" t="s">
        <v>5</v>
      </c>
      <c r="M18" s="396" t="s">
        <v>5</v>
      </c>
      <c r="N18" s="175" t="s">
        <v>5</v>
      </c>
      <c r="O18" s="400" t="s">
        <v>5</v>
      </c>
      <c r="P18" s="396" t="s">
        <v>5</v>
      </c>
      <c r="Q18" s="175" t="s">
        <v>5</v>
      </c>
      <c r="R18" s="400" t="s">
        <v>5</v>
      </c>
      <c r="S18" s="396" t="s">
        <v>5</v>
      </c>
      <c r="T18" s="203">
        <f>+G18*E18/100</f>
        <v>573652.25</v>
      </c>
      <c r="U18" s="23" t="s">
        <v>5</v>
      </c>
      <c r="V18" s="374" t="s">
        <v>5</v>
      </c>
      <c r="W18" s="4" t="str">
        <f t="shared" si="0"/>
        <v/>
      </c>
    </row>
    <row r="19" spans="1:23" ht="15" customHeight="1">
      <c r="A19" s="235" t="s">
        <v>23</v>
      </c>
      <c r="B19" s="266">
        <v>2</v>
      </c>
      <c r="C19" s="19" t="s">
        <v>8</v>
      </c>
      <c r="D19" s="302" t="s">
        <v>5</v>
      </c>
      <c r="E19" s="127">
        <f>(0.07+0.015)*100</f>
        <v>8.5</v>
      </c>
      <c r="F19" s="145" t="s">
        <v>5</v>
      </c>
      <c r="G19" s="146" t="s">
        <v>5</v>
      </c>
      <c r="H19" s="175" t="s">
        <v>5</v>
      </c>
      <c r="I19" s="400" t="s">
        <v>5</v>
      </c>
      <c r="J19" s="396" t="s">
        <v>5</v>
      </c>
      <c r="K19" s="175" t="s">
        <v>5</v>
      </c>
      <c r="L19" s="400" t="s">
        <v>5</v>
      </c>
      <c r="M19" s="396" t="s">
        <v>5</v>
      </c>
      <c r="N19" s="175" t="s">
        <v>5</v>
      </c>
      <c r="O19" s="400" t="s">
        <v>5</v>
      </c>
      <c r="P19" s="396" t="s">
        <v>5</v>
      </c>
      <c r="Q19" s="175" t="s">
        <v>5</v>
      </c>
      <c r="R19" s="400" t="s">
        <v>5</v>
      </c>
      <c r="S19" s="396" t="s">
        <v>5</v>
      </c>
      <c r="T19" s="203" t="s">
        <v>5</v>
      </c>
      <c r="U19" s="23" t="s">
        <v>5</v>
      </c>
      <c r="V19" s="374" t="s">
        <v>5</v>
      </c>
      <c r="W19" s="4" t="str">
        <f t="shared" si="0"/>
        <v/>
      </c>
    </row>
    <row r="20" spans="1:23" ht="15" customHeight="1">
      <c r="A20" s="235" t="s">
        <v>68</v>
      </c>
      <c r="B20" s="266">
        <v>1</v>
      </c>
      <c r="C20" s="28" t="s">
        <v>6</v>
      </c>
      <c r="D20" s="385">
        <v>7103</v>
      </c>
      <c r="E20" s="127" t="s">
        <v>24</v>
      </c>
      <c r="F20" s="145">
        <v>1080067</v>
      </c>
      <c r="G20" s="115" t="s">
        <v>24</v>
      </c>
      <c r="H20" s="120" t="s">
        <v>5</v>
      </c>
      <c r="I20" s="219" t="s">
        <v>5</v>
      </c>
      <c r="J20" s="180" t="s">
        <v>5</v>
      </c>
      <c r="K20" s="120" t="s">
        <v>5</v>
      </c>
      <c r="L20" s="219" t="s">
        <v>5</v>
      </c>
      <c r="M20" s="180" t="s">
        <v>5</v>
      </c>
      <c r="N20" s="120" t="s">
        <v>5</v>
      </c>
      <c r="O20" s="219" t="s">
        <v>5</v>
      </c>
      <c r="P20" s="180" t="s">
        <v>5</v>
      </c>
      <c r="Q20" s="120" t="s">
        <v>5</v>
      </c>
      <c r="R20" s="219" t="s">
        <v>5</v>
      </c>
      <c r="S20" s="180" t="s">
        <v>5</v>
      </c>
      <c r="T20" s="192" t="s">
        <v>24</v>
      </c>
      <c r="U20" s="54" t="s">
        <v>5</v>
      </c>
      <c r="V20" s="374" t="s">
        <v>5</v>
      </c>
      <c r="W20" s="4" t="str">
        <f t="shared" si="0"/>
        <v/>
      </c>
    </row>
    <row r="21" spans="1:23" ht="15" customHeight="1">
      <c r="A21" s="235" t="s">
        <v>68</v>
      </c>
      <c r="B21" s="266">
        <v>2</v>
      </c>
      <c r="C21" s="28" t="s">
        <v>8</v>
      </c>
      <c r="D21" s="386" t="s">
        <v>5</v>
      </c>
      <c r="E21" s="127">
        <v>8</v>
      </c>
      <c r="F21" s="392" t="s">
        <v>5</v>
      </c>
      <c r="G21" s="317" t="s">
        <v>5</v>
      </c>
      <c r="H21" s="120" t="s">
        <v>5</v>
      </c>
      <c r="I21" s="219" t="s">
        <v>5</v>
      </c>
      <c r="J21" s="180" t="s">
        <v>5</v>
      </c>
      <c r="K21" s="120" t="s">
        <v>5</v>
      </c>
      <c r="L21" s="219" t="s">
        <v>5</v>
      </c>
      <c r="M21" s="180" t="s">
        <v>5</v>
      </c>
      <c r="N21" s="120" t="s">
        <v>5</v>
      </c>
      <c r="O21" s="219" t="s">
        <v>5</v>
      </c>
      <c r="P21" s="180" t="s">
        <v>5</v>
      </c>
      <c r="Q21" s="120" t="s">
        <v>5</v>
      </c>
      <c r="R21" s="219" t="s">
        <v>5</v>
      </c>
      <c r="S21" s="180" t="s">
        <v>5</v>
      </c>
      <c r="T21" s="203" t="s">
        <v>5</v>
      </c>
      <c r="U21" s="19" t="s">
        <v>6</v>
      </c>
      <c r="V21" s="371">
        <v>100</v>
      </c>
      <c r="W21" s="4" t="str">
        <f t="shared" si="0"/>
        <v>A</v>
      </c>
    </row>
    <row r="22" spans="1:23" ht="15" customHeight="1">
      <c r="A22" s="235" t="s">
        <v>92</v>
      </c>
      <c r="B22" s="266">
        <v>1</v>
      </c>
      <c r="C22" s="19" t="s">
        <v>8</v>
      </c>
      <c r="D22" s="303" t="s">
        <v>5</v>
      </c>
      <c r="E22" s="127">
        <f>0.02*100</f>
        <v>2</v>
      </c>
      <c r="F22" s="145">
        <v>24960</v>
      </c>
      <c r="G22" s="146">
        <v>100100</v>
      </c>
      <c r="H22" s="127">
        <f>0.025*100</f>
        <v>2.5</v>
      </c>
      <c r="I22" s="145">
        <f>G22</f>
        <v>100100</v>
      </c>
      <c r="J22" s="396" t="s">
        <v>5</v>
      </c>
      <c r="K22" s="175" t="s">
        <v>5</v>
      </c>
      <c r="L22" s="400" t="s">
        <v>5</v>
      </c>
      <c r="M22" s="396" t="s">
        <v>5</v>
      </c>
      <c r="N22" s="175" t="s">
        <v>5</v>
      </c>
      <c r="O22" s="400" t="s">
        <v>5</v>
      </c>
      <c r="P22" s="396" t="s">
        <v>5</v>
      </c>
      <c r="Q22" s="175" t="s">
        <v>5</v>
      </c>
      <c r="R22" s="400" t="s">
        <v>5</v>
      </c>
      <c r="S22" s="396" t="s">
        <v>5</v>
      </c>
      <c r="T22" s="188" t="s">
        <v>5</v>
      </c>
      <c r="U22" s="67" t="s">
        <v>5</v>
      </c>
      <c r="V22" s="372" t="s">
        <v>5</v>
      </c>
      <c r="W22" s="4" t="str">
        <f t="shared" si="0"/>
        <v/>
      </c>
    </row>
    <row r="23" spans="1:23" ht="15" customHeight="1">
      <c r="A23" s="235" t="s">
        <v>92</v>
      </c>
      <c r="B23" s="266">
        <v>2</v>
      </c>
      <c r="C23" s="19" t="s">
        <v>8</v>
      </c>
      <c r="D23" s="302" t="s">
        <v>5</v>
      </c>
      <c r="E23" s="127">
        <f>0.04*100</f>
        <v>4</v>
      </c>
      <c r="F23" s="145" t="s">
        <v>78</v>
      </c>
      <c r="G23" s="115">
        <v>48800</v>
      </c>
      <c r="H23" s="120" t="s">
        <v>5</v>
      </c>
      <c r="I23" s="219" t="s">
        <v>5</v>
      </c>
      <c r="J23" s="180" t="s">
        <v>5</v>
      </c>
      <c r="K23" s="120" t="s">
        <v>5</v>
      </c>
      <c r="L23" s="219" t="s">
        <v>5</v>
      </c>
      <c r="M23" s="180" t="s">
        <v>5</v>
      </c>
      <c r="N23" s="120" t="s">
        <v>5</v>
      </c>
      <c r="O23" s="219" t="s">
        <v>5</v>
      </c>
      <c r="P23" s="180" t="s">
        <v>5</v>
      </c>
      <c r="Q23" s="120" t="s">
        <v>5</v>
      </c>
      <c r="R23" s="219" t="s">
        <v>5</v>
      </c>
      <c r="S23" s="180" t="s">
        <v>5</v>
      </c>
      <c r="T23" s="203">
        <f>E23*G23/100</f>
        <v>1952</v>
      </c>
      <c r="U23" s="23" t="s">
        <v>5</v>
      </c>
      <c r="V23" s="374" t="s">
        <v>5</v>
      </c>
      <c r="W23" s="4" t="str">
        <f t="shared" si="0"/>
        <v/>
      </c>
    </row>
    <row r="24" spans="1:23" ht="15" customHeight="1">
      <c r="A24" s="235" t="s">
        <v>69</v>
      </c>
      <c r="B24" s="266">
        <v>1</v>
      </c>
      <c r="C24" s="19" t="s">
        <v>7</v>
      </c>
      <c r="D24" s="303" t="s">
        <v>5</v>
      </c>
      <c r="E24" s="127">
        <f>0.035*100</f>
        <v>3.5000000000000004</v>
      </c>
      <c r="F24" s="145">
        <v>0</v>
      </c>
      <c r="G24" s="146">
        <f>54264/12</f>
        <v>4522</v>
      </c>
      <c r="H24" s="127">
        <f>0.12*100</f>
        <v>12</v>
      </c>
      <c r="I24" s="145">
        <f>G24</f>
        <v>4522</v>
      </c>
      <c r="J24" s="146">
        <f>429120/12</f>
        <v>35760</v>
      </c>
      <c r="K24" s="175" t="s">
        <v>5</v>
      </c>
      <c r="L24" s="400" t="s">
        <v>5</v>
      </c>
      <c r="M24" s="396" t="s">
        <v>5</v>
      </c>
      <c r="N24" s="175" t="s">
        <v>5</v>
      </c>
      <c r="O24" s="400" t="s">
        <v>5</v>
      </c>
      <c r="P24" s="396" t="s">
        <v>5</v>
      </c>
      <c r="Q24" s="175" t="s">
        <v>5</v>
      </c>
      <c r="R24" s="400" t="s">
        <v>5</v>
      </c>
      <c r="S24" s="396" t="s">
        <v>5</v>
      </c>
      <c r="T24" s="192">
        <f>+E24/100*G24+H24/100*(J24-I24)</f>
        <v>3906.83</v>
      </c>
      <c r="U24" s="67" t="s">
        <v>5</v>
      </c>
      <c r="V24" s="372" t="s">
        <v>5</v>
      </c>
      <c r="W24" s="4" t="str">
        <f t="shared" si="0"/>
        <v/>
      </c>
    </row>
    <row r="25" spans="1:23" ht="15" customHeight="1">
      <c r="A25" s="235" t="s">
        <v>13</v>
      </c>
      <c r="B25" s="266">
        <v>1</v>
      </c>
      <c r="C25" s="19" t="s">
        <v>8</v>
      </c>
      <c r="D25" s="303" t="s">
        <v>5</v>
      </c>
      <c r="E25" s="127">
        <f>0.0949*100</f>
        <v>9.49</v>
      </c>
      <c r="F25" s="145">
        <v>0</v>
      </c>
      <c r="G25" s="146">
        <v>40083</v>
      </c>
      <c r="H25" s="127">
        <f>0.1049*100</f>
        <v>10.489999999999998</v>
      </c>
      <c r="I25" s="145">
        <f>G25</f>
        <v>40083</v>
      </c>
      <c r="J25" s="146">
        <v>87187</v>
      </c>
      <c r="K25" s="175" t="s">
        <v>5</v>
      </c>
      <c r="L25" s="400" t="s">
        <v>5</v>
      </c>
      <c r="M25" s="396" t="s">
        <v>5</v>
      </c>
      <c r="N25" s="175" t="s">
        <v>5</v>
      </c>
      <c r="O25" s="400" t="s">
        <v>5</v>
      </c>
      <c r="P25" s="396" t="s">
        <v>5</v>
      </c>
      <c r="Q25" s="175" t="s">
        <v>5</v>
      </c>
      <c r="R25" s="400" t="s">
        <v>5</v>
      </c>
      <c r="S25" s="396" t="s">
        <v>5</v>
      </c>
      <c r="T25" s="192">
        <f>((E25/100)*G25)+(H25/100)*(J25-I25)</f>
        <v>8745.086299999999</v>
      </c>
      <c r="U25" s="279" t="s">
        <v>6</v>
      </c>
      <c r="V25" s="374">
        <v>100</v>
      </c>
      <c r="W25" s="4" t="str">
        <f t="shared" si="0"/>
        <v>A</v>
      </c>
    </row>
    <row r="26" spans="1:23" s="2" customFormat="1" ht="15" customHeight="1">
      <c r="A26" s="235" t="s">
        <v>14</v>
      </c>
      <c r="B26" s="266">
        <v>1</v>
      </c>
      <c r="C26" s="19" t="s">
        <v>7</v>
      </c>
      <c r="D26" s="306" t="s">
        <v>5</v>
      </c>
      <c r="E26" s="127">
        <f>0.0738*100+H26</f>
        <v>12.080000000000002</v>
      </c>
      <c r="F26" s="145">
        <v>0</v>
      </c>
      <c r="G26" s="146">
        <f>7440000/12</f>
        <v>620000</v>
      </c>
      <c r="H26" s="127">
        <f>0.041*100+K26</f>
        <v>4.7</v>
      </c>
      <c r="I26" s="145">
        <f>G26</f>
        <v>620000</v>
      </c>
      <c r="J26" s="146">
        <f>14520000/12</f>
        <v>1210000</v>
      </c>
      <c r="K26" s="127">
        <f>0.006*100</f>
        <v>0.6</v>
      </c>
      <c r="L26" s="145">
        <f>J26</f>
        <v>1210000</v>
      </c>
      <c r="M26" s="180" t="s">
        <v>5</v>
      </c>
      <c r="N26" s="175" t="s">
        <v>5</v>
      </c>
      <c r="O26" s="400" t="s">
        <v>5</v>
      </c>
      <c r="P26" s="396" t="s">
        <v>5</v>
      </c>
      <c r="Q26" s="175" t="s">
        <v>5</v>
      </c>
      <c r="R26" s="400" t="s">
        <v>5</v>
      </c>
      <c r="S26" s="396" t="s">
        <v>5</v>
      </c>
      <c r="T26" s="192" t="s">
        <v>5</v>
      </c>
      <c r="U26" s="19" t="s">
        <v>6</v>
      </c>
      <c r="V26" s="371">
        <v>100</v>
      </c>
      <c r="W26" s="4" t="str">
        <f t="shared" si="0"/>
        <v>A</v>
      </c>
    </row>
    <row r="27" spans="1:23" s="2" customFormat="1" ht="15" customHeight="1">
      <c r="A27" s="235" t="s">
        <v>15</v>
      </c>
      <c r="B27" s="266">
        <v>1</v>
      </c>
      <c r="C27" s="28" t="s">
        <v>7</v>
      </c>
      <c r="D27" s="303" t="s">
        <v>5</v>
      </c>
      <c r="E27" s="127">
        <f>(0.045*100)+H27</f>
        <v>7.335</v>
      </c>
      <c r="F27" s="145">
        <v>0</v>
      </c>
      <c r="G27" s="146">
        <f>(1944000/0.045)/12</f>
        <v>3600000</v>
      </c>
      <c r="H27" s="127">
        <f>(0.02385*100)+K27</f>
        <v>2.835</v>
      </c>
      <c r="I27" s="145">
        <f>G27</f>
        <v>3600000</v>
      </c>
      <c r="J27" s="146">
        <f>(18829098/0.02385)/12</f>
        <v>65790000</v>
      </c>
      <c r="K27" s="3">
        <f>0.0045*100</f>
        <v>0.44999999999999996</v>
      </c>
      <c r="L27" s="145">
        <f>J27</f>
        <v>65790000</v>
      </c>
      <c r="M27" s="396" t="s">
        <v>5</v>
      </c>
      <c r="N27" s="175" t="s">
        <v>5</v>
      </c>
      <c r="O27" s="400" t="s">
        <v>5</v>
      </c>
      <c r="P27" s="396" t="s">
        <v>5</v>
      </c>
      <c r="Q27" s="175" t="s">
        <v>5</v>
      </c>
      <c r="R27" s="400" t="s">
        <v>5</v>
      </c>
      <c r="S27" s="396" t="s">
        <v>5</v>
      </c>
      <c r="T27" s="188" t="s">
        <v>5</v>
      </c>
      <c r="U27" s="19" t="s">
        <v>6</v>
      </c>
      <c r="V27" s="371">
        <v>100</v>
      </c>
      <c r="W27" s="4" t="str">
        <f t="shared" si="0"/>
        <v>A</v>
      </c>
    </row>
    <row r="28" spans="1:23" s="40" customFormat="1">
      <c r="A28" s="513" t="s">
        <v>282</v>
      </c>
      <c r="B28" s="500">
        <v>1</v>
      </c>
      <c r="C28" s="30" t="s">
        <v>8</v>
      </c>
      <c r="D28" s="502" t="s">
        <v>5</v>
      </c>
      <c r="E28" s="503">
        <v>9</v>
      </c>
      <c r="F28" s="400">
        <v>0</v>
      </c>
      <c r="G28" s="396">
        <v>33864</v>
      </c>
      <c r="H28" s="501"/>
      <c r="I28" s="504"/>
      <c r="J28" s="505"/>
      <c r="K28" s="501"/>
      <c r="L28" s="504"/>
      <c r="M28" s="505"/>
      <c r="N28" s="506"/>
      <c r="O28" s="504"/>
      <c r="P28" s="505"/>
      <c r="Q28" s="506"/>
      <c r="R28" s="504"/>
      <c r="S28" s="505"/>
      <c r="T28" s="507">
        <f>(E28/100)*G28</f>
        <v>3047.7599999999998</v>
      </c>
      <c r="U28" s="62" t="s">
        <v>6</v>
      </c>
      <c r="V28" s="375">
        <v>100</v>
      </c>
      <c r="W28" s="30" t="str">
        <f t="shared" si="0"/>
        <v>A</v>
      </c>
    </row>
    <row r="29" spans="1:23" ht="15" customHeight="1">
      <c r="A29" s="235" t="s">
        <v>70</v>
      </c>
      <c r="B29" s="266">
        <v>1</v>
      </c>
      <c r="C29" s="19" t="s">
        <v>8</v>
      </c>
      <c r="D29" s="304" t="s">
        <v>5</v>
      </c>
      <c r="E29" s="127">
        <f>0.108*100</f>
        <v>10.8</v>
      </c>
      <c r="F29" s="145">
        <v>0</v>
      </c>
      <c r="G29" s="146">
        <v>94216.8</v>
      </c>
      <c r="H29" s="175" t="s">
        <v>5</v>
      </c>
      <c r="I29" s="400" t="s">
        <v>5</v>
      </c>
      <c r="J29" s="396" t="s">
        <v>5</v>
      </c>
      <c r="K29" s="175" t="s">
        <v>5</v>
      </c>
      <c r="L29" s="400" t="s">
        <v>5</v>
      </c>
      <c r="M29" s="396" t="s">
        <v>5</v>
      </c>
      <c r="N29" s="175" t="s">
        <v>5</v>
      </c>
      <c r="O29" s="400" t="s">
        <v>5</v>
      </c>
      <c r="P29" s="396" t="s">
        <v>5</v>
      </c>
      <c r="Q29" s="175" t="s">
        <v>5</v>
      </c>
      <c r="R29" s="400" t="s">
        <v>5</v>
      </c>
      <c r="S29" s="396" t="s">
        <v>5</v>
      </c>
      <c r="T29" s="192">
        <f>G29*E29/100</f>
        <v>10175.414400000001</v>
      </c>
      <c r="U29" s="28" t="s">
        <v>6</v>
      </c>
      <c r="V29" s="373">
        <v>100</v>
      </c>
      <c r="W29" s="4" t="str">
        <f t="shared" si="0"/>
        <v>A</v>
      </c>
    </row>
    <row r="30" spans="1:23" ht="15" customHeight="1">
      <c r="A30" s="235" t="s">
        <v>70</v>
      </c>
      <c r="B30" s="266">
        <v>2</v>
      </c>
      <c r="C30" s="19" t="s">
        <v>8</v>
      </c>
      <c r="D30" s="304" t="s">
        <v>5</v>
      </c>
      <c r="E30" s="127">
        <f>0.014*100</f>
        <v>1.4000000000000001</v>
      </c>
      <c r="F30" s="145">
        <f>0.25*18843.36</f>
        <v>4710.84</v>
      </c>
      <c r="G30" s="180" t="s">
        <v>5</v>
      </c>
      <c r="H30" s="120" t="s">
        <v>5</v>
      </c>
      <c r="I30" s="219" t="s">
        <v>5</v>
      </c>
      <c r="J30" s="180" t="s">
        <v>5</v>
      </c>
      <c r="K30" s="120" t="s">
        <v>5</v>
      </c>
      <c r="L30" s="219" t="s">
        <v>5</v>
      </c>
      <c r="M30" s="180" t="s">
        <v>5</v>
      </c>
      <c r="N30" s="120" t="s">
        <v>5</v>
      </c>
      <c r="O30" s="219" t="s">
        <v>5</v>
      </c>
      <c r="P30" s="180" t="s">
        <v>5</v>
      </c>
      <c r="Q30" s="120" t="s">
        <v>5</v>
      </c>
      <c r="R30" s="219" t="s">
        <v>5</v>
      </c>
      <c r="S30" s="180" t="s">
        <v>5</v>
      </c>
      <c r="T30" s="198" t="s">
        <v>5</v>
      </c>
      <c r="U30" s="7" t="s">
        <v>5</v>
      </c>
      <c r="V30" s="376" t="s">
        <v>5</v>
      </c>
      <c r="W30" s="4" t="str">
        <f t="shared" si="0"/>
        <v/>
      </c>
    </row>
    <row r="31" spans="1:23" s="2" customFormat="1" ht="15" customHeight="1">
      <c r="A31" s="235" t="s">
        <v>71</v>
      </c>
      <c r="B31" s="266">
        <v>1</v>
      </c>
      <c r="C31" s="19" t="s">
        <v>7</v>
      </c>
      <c r="D31" s="306" t="s">
        <v>5</v>
      </c>
      <c r="E31" s="127">
        <f>0.625+0.625</f>
        <v>1.25</v>
      </c>
      <c r="F31" s="114">
        <v>0</v>
      </c>
      <c r="G31" s="115">
        <f>3*50.57*(365/12)</f>
        <v>4614.5125000000007</v>
      </c>
      <c r="H31" s="127">
        <f>E31+0.56</f>
        <v>1.81</v>
      </c>
      <c r="I31" s="114">
        <f>G31</f>
        <v>4614.5125000000007</v>
      </c>
      <c r="J31" s="115">
        <f>24*50.57*(365/12)</f>
        <v>36916.100000000006</v>
      </c>
      <c r="K31" s="127">
        <f>0.625+0.56</f>
        <v>1.1850000000000001</v>
      </c>
      <c r="L31" s="114">
        <f>J31</f>
        <v>36916.100000000006</v>
      </c>
      <c r="M31" s="115">
        <f>25*50.57*(365/12)</f>
        <v>38454.270833333336</v>
      </c>
      <c r="N31" s="120" t="s">
        <v>5</v>
      </c>
      <c r="O31" s="219" t="s">
        <v>5</v>
      </c>
      <c r="P31" s="180" t="s">
        <v>5</v>
      </c>
      <c r="Q31" s="120" t="s">
        <v>5</v>
      </c>
      <c r="R31" s="219" t="s">
        <v>5</v>
      </c>
      <c r="S31" s="180" t="s">
        <v>5</v>
      </c>
      <c r="T31" s="196">
        <f>($E$31/100*$G$31)+($H$31/100*($J$31-$I$31))+($K$31/100*($M$31-$L$31))</f>
        <v>660.5674643750001</v>
      </c>
      <c r="U31" s="335" t="s">
        <v>5</v>
      </c>
      <c r="V31" s="343" t="s">
        <v>5</v>
      </c>
      <c r="W31" s="4" t="str">
        <f t="shared" si="0"/>
        <v/>
      </c>
    </row>
    <row r="32" spans="1:23" ht="15" customHeight="1">
      <c r="A32" s="339" t="s">
        <v>60</v>
      </c>
      <c r="B32" s="266">
        <v>1</v>
      </c>
      <c r="C32" s="28" t="s">
        <v>6</v>
      </c>
      <c r="D32" s="304" t="s">
        <v>5</v>
      </c>
      <c r="E32" s="127">
        <f>(0.179+0.0125+0.12)*100</f>
        <v>31.15</v>
      </c>
      <c r="F32" s="319">
        <v>0</v>
      </c>
      <c r="G32" s="320">
        <v>31122</v>
      </c>
      <c r="H32" s="163" t="s">
        <v>5</v>
      </c>
      <c r="I32" s="395" t="s">
        <v>5</v>
      </c>
      <c r="J32" s="472" t="s">
        <v>5</v>
      </c>
      <c r="K32" s="163" t="s">
        <v>5</v>
      </c>
      <c r="L32" s="395" t="s">
        <v>5</v>
      </c>
      <c r="M32" s="472" t="s">
        <v>5</v>
      </c>
      <c r="N32" s="163" t="s">
        <v>5</v>
      </c>
      <c r="O32" s="395" t="s">
        <v>5</v>
      </c>
      <c r="P32" s="472" t="s">
        <v>5</v>
      </c>
      <c r="Q32" s="163" t="s">
        <v>5</v>
      </c>
      <c r="R32" s="395" t="s">
        <v>5</v>
      </c>
      <c r="S32" s="472" t="s">
        <v>5</v>
      </c>
      <c r="T32" s="196">
        <f>(G32-F32)*E32/100</f>
        <v>9694.5029999999988</v>
      </c>
      <c r="U32" s="28" t="s">
        <v>6</v>
      </c>
      <c r="V32" s="373">
        <v>100</v>
      </c>
      <c r="W32" s="4" t="str">
        <f t="shared" si="0"/>
        <v>A</v>
      </c>
    </row>
    <row r="33" spans="1:23" ht="15" customHeight="1">
      <c r="A33" s="244" t="s">
        <v>42</v>
      </c>
      <c r="B33" s="268">
        <v>0</v>
      </c>
      <c r="C33" s="111" t="s">
        <v>250</v>
      </c>
      <c r="D33" s="310" t="s">
        <v>5</v>
      </c>
      <c r="E33" s="366" t="s">
        <v>5</v>
      </c>
      <c r="F33" s="398" t="s">
        <v>5</v>
      </c>
      <c r="G33" s="399" t="s">
        <v>5</v>
      </c>
      <c r="H33" s="163" t="s">
        <v>5</v>
      </c>
      <c r="I33" s="395" t="s">
        <v>5</v>
      </c>
      <c r="J33" s="472" t="s">
        <v>5</v>
      </c>
      <c r="K33" s="163" t="s">
        <v>5</v>
      </c>
      <c r="L33" s="395" t="s">
        <v>5</v>
      </c>
      <c r="M33" s="472" t="s">
        <v>5</v>
      </c>
      <c r="N33" s="163" t="s">
        <v>5</v>
      </c>
      <c r="O33" s="395" t="s">
        <v>5</v>
      </c>
      <c r="P33" s="472" t="s">
        <v>5</v>
      </c>
      <c r="Q33" s="163" t="s">
        <v>5</v>
      </c>
      <c r="R33" s="395" t="s">
        <v>5</v>
      </c>
      <c r="S33" s="472" t="s">
        <v>5</v>
      </c>
      <c r="T33" s="197" t="s">
        <v>5</v>
      </c>
      <c r="U33" s="111" t="s">
        <v>5</v>
      </c>
      <c r="V33" s="377" t="s">
        <v>5</v>
      </c>
      <c r="W33" s="4" t="str">
        <f t="shared" si="0"/>
        <v/>
      </c>
    </row>
    <row r="34" spans="1:23" ht="15" customHeight="1">
      <c r="A34" s="235" t="s">
        <v>16</v>
      </c>
      <c r="B34" s="266">
        <v>1</v>
      </c>
      <c r="C34" s="19" t="s">
        <v>8</v>
      </c>
      <c r="D34" s="302" t="s">
        <v>5</v>
      </c>
      <c r="E34" s="127">
        <f>0.078*100</f>
        <v>7.8</v>
      </c>
      <c r="F34" s="145" t="s">
        <v>65</v>
      </c>
      <c r="G34" s="146" t="s">
        <v>5</v>
      </c>
      <c r="H34" s="175" t="s">
        <v>5</v>
      </c>
      <c r="I34" s="400" t="s">
        <v>5</v>
      </c>
      <c r="J34" s="396" t="s">
        <v>5</v>
      </c>
      <c r="K34" s="175" t="s">
        <v>5</v>
      </c>
      <c r="L34" s="400" t="s">
        <v>5</v>
      </c>
      <c r="M34" s="396" t="s">
        <v>5</v>
      </c>
      <c r="N34" s="175" t="s">
        <v>5</v>
      </c>
      <c r="O34" s="400" t="s">
        <v>5</v>
      </c>
      <c r="P34" s="396" t="s">
        <v>5</v>
      </c>
      <c r="Q34" s="175" t="s">
        <v>5</v>
      </c>
      <c r="R34" s="400" t="s">
        <v>5</v>
      </c>
      <c r="S34" s="396" t="s">
        <v>5</v>
      </c>
      <c r="T34" s="202" t="s">
        <v>5</v>
      </c>
      <c r="U34" s="54" t="s">
        <v>5</v>
      </c>
      <c r="V34" s="374" t="s">
        <v>5</v>
      </c>
      <c r="W34" s="4" t="str">
        <f t="shared" si="0"/>
        <v/>
      </c>
    </row>
    <row r="35" spans="1:23" ht="15" customHeight="1">
      <c r="A35" s="235" t="s">
        <v>72</v>
      </c>
      <c r="B35" s="266">
        <v>1</v>
      </c>
      <c r="C35" s="19" t="s">
        <v>8</v>
      </c>
      <c r="D35" s="303" t="s">
        <v>5</v>
      </c>
      <c r="E35" s="127">
        <f>(0.061098+0.05)*100</f>
        <v>11.1098</v>
      </c>
      <c r="F35" s="114">
        <v>0</v>
      </c>
      <c r="G35" s="115">
        <v>78480</v>
      </c>
      <c r="H35" s="127">
        <f>0.0245*100</f>
        <v>2.4500000000000002</v>
      </c>
      <c r="I35" s="114">
        <v>78480</v>
      </c>
      <c r="J35" s="180" t="s">
        <v>5</v>
      </c>
      <c r="K35" s="120" t="s">
        <v>5</v>
      </c>
      <c r="L35" s="219" t="s">
        <v>5</v>
      </c>
      <c r="M35" s="180" t="s">
        <v>5</v>
      </c>
      <c r="N35" s="120" t="s">
        <v>5</v>
      </c>
      <c r="O35" s="219" t="s">
        <v>5</v>
      </c>
      <c r="P35" s="180" t="s">
        <v>5</v>
      </c>
      <c r="Q35" s="120" t="s">
        <v>5</v>
      </c>
      <c r="R35" s="219" t="s">
        <v>5</v>
      </c>
      <c r="S35" s="180" t="s">
        <v>5</v>
      </c>
      <c r="T35" s="199" t="s">
        <v>5</v>
      </c>
      <c r="U35" s="19" t="s">
        <v>6</v>
      </c>
      <c r="V35" s="371">
        <v>100</v>
      </c>
      <c r="W35" s="4" t="str">
        <f t="shared" si="0"/>
        <v>A</v>
      </c>
    </row>
    <row r="36" spans="1:23" ht="15" customHeight="1">
      <c r="A36" s="235" t="s">
        <v>72</v>
      </c>
      <c r="B36" s="266">
        <v>2</v>
      </c>
      <c r="C36" s="19" t="s">
        <v>8</v>
      </c>
      <c r="D36" s="303" t="s">
        <v>5</v>
      </c>
      <c r="E36" s="127">
        <f>0.09*100</f>
        <v>9</v>
      </c>
      <c r="F36" s="316" t="s">
        <v>5</v>
      </c>
      <c r="G36" s="317" t="s">
        <v>5</v>
      </c>
      <c r="H36" s="120" t="s">
        <v>5</v>
      </c>
      <c r="I36" s="219" t="s">
        <v>5</v>
      </c>
      <c r="J36" s="180" t="s">
        <v>5</v>
      </c>
      <c r="K36" s="120" t="s">
        <v>5</v>
      </c>
      <c r="L36" s="219" t="s">
        <v>5</v>
      </c>
      <c r="M36" s="180" t="s">
        <v>5</v>
      </c>
      <c r="N36" s="120" t="s">
        <v>5</v>
      </c>
      <c r="O36" s="219" t="s">
        <v>5</v>
      </c>
      <c r="P36" s="180" t="s">
        <v>5</v>
      </c>
      <c r="Q36" s="120" t="s">
        <v>5</v>
      </c>
      <c r="R36" s="219" t="s">
        <v>5</v>
      </c>
      <c r="S36" s="180" t="s">
        <v>5</v>
      </c>
      <c r="T36" s="199" t="s">
        <v>5</v>
      </c>
      <c r="U36" s="19" t="s">
        <v>6</v>
      </c>
      <c r="V36" s="371">
        <v>100</v>
      </c>
      <c r="W36" s="4" t="str">
        <f t="shared" si="0"/>
        <v>A</v>
      </c>
    </row>
    <row r="37" spans="1:23" ht="15" customHeight="1">
      <c r="A37" s="235" t="s">
        <v>17</v>
      </c>
      <c r="B37" s="266">
        <v>1</v>
      </c>
      <c r="C37" s="19" t="s">
        <v>7</v>
      </c>
      <c r="D37" s="302" t="s">
        <v>5</v>
      </c>
      <c r="E37" s="127">
        <f>0.11*100</f>
        <v>11</v>
      </c>
      <c r="F37" s="145" t="s">
        <v>5</v>
      </c>
      <c r="G37" s="146" t="s">
        <v>5</v>
      </c>
      <c r="H37" s="175" t="s">
        <v>5</v>
      </c>
      <c r="I37" s="400" t="s">
        <v>5</v>
      </c>
      <c r="J37" s="396" t="s">
        <v>5</v>
      </c>
      <c r="K37" s="175" t="s">
        <v>5</v>
      </c>
      <c r="L37" s="400" t="s">
        <v>5</v>
      </c>
      <c r="M37" s="396" t="s">
        <v>5</v>
      </c>
      <c r="N37" s="175" t="s">
        <v>5</v>
      </c>
      <c r="O37" s="400" t="s">
        <v>5</v>
      </c>
      <c r="P37" s="396" t="s">
        <v>5</v>
      </c>
      <c r="Q37" s="175" t="s">
        <v>5</v>
      </c>
      <c r="R37" s="400" t="s">
        <v>5</v>
      </c>
      <c r="S37" s="396" t="s">
        <v>5</v>
      </c>
      <c r="T37" s="202" t="s">
        <v>5</v>
      </c>
      <c r="U37" s="19" t="s">
        <v>6</v>
      </c>
      <c r="V37" s="371">
        <v>100</v>
      </c>
      <c r="W37" s="4" t="str">
        <f t="shared" si="0"/>
        <v>A</v>
      </c>
    </row>
    <row r="38" spans="1:23" ht="15" customHeight="1">
      <c r="A38" s="235" t="s">
        <v>51</v>
      </c>
      <c r="B38" s="266">
        <v>1</v>
      </c>
      <c r="C38" s="19" t="s">
        <v>7</v>
      </c>
      <c r="D38" s="304" t="s">
        <v>5</v>
      </c>
      <c r="E38" s="127">
        <f>(0.014+0.04+0.08)*100</f>
        <v>13.4</v>
      </c>
      <c r="F38" s="145" t="str">
        <f>"["&amp;ROUND(256.42,1)&amp;"]"</f>
        <v>[256.4]</v>
      </c>
      <c r="G38" s="146">
        <f>10765.2857996415/12</f>
        <v>897.10714997012508</v>
      </c>
      <c r="H38" s="498">
        <f>(0.04+0.08)*100</f>
        <v>12</v>
      </c>
      <c r="I38" s="400">
        <f>G38</f>
        <v>897.10714997012508</v>
      </c>
      <c r="J38" s="396">
        <f>20642.1031666999/12</f>
        <v>1720.1752638916585</v>
      </c>
      <c r="K38" s="498">
        <f>0.08*100</f>
        <v>8</v>
      </c>
      <c r="L38" s="400">
        <f>J38</f>
        <v>1720.1752638916585</v>
      </c>
      <c r="M38" s="396">
        <f>21530.571599283/12</f>
        <v>1794.2142999402502</v>
      </c>
      <c r="N38" s="175" t="s">
        <v>5</v>
      </c>
      <c r="O38" s="400" t="s">
        <v>5</v>
      </c>
      <c r="P38" s="396" t="s">
        <v>5</v>
      </c>
      <c r="Q38" s="175" t="s">
        <v>5</v>
      </c>
      <c r="R38" s="400" t="s">
        <v>5</v>
      </c>
      <c r="S38" s="396" t="s">
        <v>5</v>
      </c>
      <c r="T38" s="202"/>
      <c r="U38" s="28" t="s">
        <v>6</v>
      </c>
      <c r="V38" s="373">
        <v>100</v>
      </c>
      <c r="W38" s="4" t="str">
        <f t="shared" si="0"/>
        <v>A</v>
      </c>
    </row>
    <row r="39" spans="1:23" ht="15" customHeight="1">
      <c r="A39" s="235" t="s">
        <v>59</v>
      </c>
      <c r="B39" s="266">
        <v>1</v>
      </c>
      <c r="C39" s="19" t="s">
        <v>7</v>
      </c>
      <c r="D39" s="303" t="s">
        <v>5</v>
      </c>
      <c r="E39" s="127">
        <f>0.221*100</f>
        <v>22.1</v>
      </c>
      <c r="F39" s="400" t="s">
        <v>5</v>
      </c>
      <c r="G39" s="396" t="s">
        <v>5</v>
      </c>
      <c r="H39" s="175" t="s">
        <v>5</v>
      </c>
      <c r="I39" s="400" t="s">
        <v>5</v>
      </c>
      <c r="J39" s="396" t="s">
        <v>5</v>
      </c>
      <c r="K39" s="175" t="s">
        <v>5</v>
      </c>
      <c r="L39" s="400" t="s">
        <v>5</v>
      </c>
      <c r="M39" s="396" t="s">
        <v>5</v>
      </c>
      <c r="N39" s="175" t="s">
        <v>5</v>
      </c>
      <c r="O39" s="400" t="s">
        <v>5</v>
      </c>
      <c r="P39" s="396" t="s">
        <v>5</v>
      </c>
      <c r="Q39" s="175" t="s">
        <v>5</v>
      </c>
      <c r="R39" s="400" t="s">
        <v>5</v>
      </c>
      <c r="S39" s="396" t="s">
        <v>5</v>
      </c>
      <c r="T39" s="199" t="s">
        <v>5</v>
      </c>
      <c r="U39" s="28" t="s">
        <v>6</v>
      </c>
      <c r="V39" s="373">
        <v>100</v>
      </c>
      <c r="W39" s="4" t="str">
        <f t="shared" si="0"/>
        <v>A</v>
      </c>
    </row>
    <row r="40" spans="1:23" ht="15" customHeight="1">
      <c r="A40" s="235" t="s">
        <v>213</v>
      </c>
      <c r="B40" s="266">
        <v>1</v>
      </c>
      <c r="C40" s="19" t="s">
        <v>8</v>
      </c>
      <c r="D40" s="302" t="s">
        <v>5</v>
      </c>
      <c r="E40" s="127">
        <f>(0.047+0.0155+0.001)*100</f>
        <v>6.35</v>
      </c>
      <c r="F40" s="145">
        <v>0</v>
      </c>
      <c r="G40" s="146">
        <v>35953.199999999997</v>
      </c>
      <c r="H40" s="175" t="s">
        <v>5</v>
      </c>
      <c r="I40" s="400" t="s">
        <v>5</v>
      </c>
      <c r="J40" s="396" t="s">
        <v>5</v>
      </c>
      <c r="K40" s="175" t="s">
        <v>5</v>
      </c>
      <c r="L40" s="400" t="s">
        <v>5</v>
      </c>
      <c r="M40" s="396" t="s">
        <v>5</v>
      </c>
      <c r="N40" s="175" t="s">
        <v>5</v>
      </c>
      <c r="O40" s="400" t="s">
        <v>5</v>
      </c>
      <c r="P40" s="396" t="s">
        <v>5</v>
      </c>
      <c r="Q40" s="175" t="s">
        <v>5</v>
      </c>
      <c r="R40" s="400" t="s">
        <v>5</v>
      </c>
      <c r="S40" s="396" t="s">
        <v>5</v>
      </c>
      <c r="T40" s="196">
        <f>G40*(E40/100)</f>
        <v>2283.0281999999997</v>
      </c>
      <c r="U40" s="19" t="s">
        <v>6</v>
      </c>
      <c r="V40" s="371">
        <v>100</v>
      </c>
      <c r="W40" s="4" t="str">
        <f t="shared" si="0"/>
        <v>A</v>
      </c>
    </row>
    <row r="41" spans="1:23" ht="15" customHeight="1">
      <c r="A41" s="339" t="s">
        <v>73</v>
      </c>
      <c r="B41" s="266">
        <v>1</v>
      </c>
      <c r="C41" s="19" t="s">
        <v>8</v>
      </c>
      <c r="D41" s="303" t="s">
        <v>5</v>
      </c>
      <c r="E41" s="127">
        <f>0.07*100</f>
        <v>7.0000000000000009</v>
      </c>
      <c r="F41" s="145" t="str">
        <f>"["&amp;ROUND(0.423*40300,0)&amp;"]"</f>
        <v>[17047]</v>
      </c>
      <c r="G41" s="146">
        <f>8.07*45900</f>
        <v>370413</v>
      </c>
      <c r="H41" s="175" t="s">
        <v>5</v>
      </c>
      <c r="I41" s="400" t="s">
        <v>5</v>
      </c>
      <c r="J41" s="396" t="s">
        <v>5</v>
      </c>
      <c r="K41" s="175" t="s">
        <v>5</v>
      </c>
      <c r="L41" s="400" t="s">
        <v>5</v>
      </c>
      <c r="M41" s="396" t="s">
        <v>5</v>
      </c>
      <c r="N41" s="175" t="s">
        <v>5</v>
      </c>
      <c r="O41" s="400" t="s">
        <v>5</v>
      </c>
      <c r="P41" s="396" t="s">
        <v>5</v>
      </c>
      <c r="Q41" s="175" t="s">
        <v>5</v>
      </c>
      <c r="R41" s="400" t="s">
        <v>5</v>
      </c>
      <c r="S41" s="396" t="s">
        <v>5</v>
      </c>
      <c r="T41" s="196">
        <f>ROUND(E41*G41/100,-2)</f>
        <v>25900</v>
      </c>
      <c r="U41" s="19" t="s">
        <v>28</v>
      </c>
      <c r="V41" s="371">
        <v>100</v>
      </c>
      <c r="W41" s="4" t="str">
        <f t="shared" si="0"/>
        <v>C</v>
      </c>
    </row>
    <row r="42" spans="1:23" ht="15" customHeight="1">
      <c r="A42" s="235" t="s">
        <v>74</v>
      </c>
      <c r="B42" s="266">
        <v>1</v>
      </c>
      <c r="C42" s="19" t="s">
        <v>8</v>
      </c>
      <c r="D42" s="303" t="s">
        <v>5</v>
      </c>
      <c r="E42" s="127">
        <f>(0.01*100)+H42</f>
        <v>6.0500000000000007</v>
      </c>
      <c r="F42" s="145">
        <v>0</v>
      </c>
      <c r="G42" s="146">
        <v>106800</v>
      </c>
      <c r="H42" s="127">
        <f>0.0505*100</f>
        <v>5.0500000000000007</v>
      </c>
      <c r="I42" s="145">
        <f>G42</f>
        <v>106800</v>
      </c>
      <c r="J42" s="396" t="s">
        <v>5</v>
      </c>
      <c r="K42" s="175" t="s">
        <v>5</v>
      </c>
      <c r="L42" s="400" t="s">
        <v>5</v>
      </c>
      <c r="M42" s="396" t="s">
        <v>5</v>
      </c>
      <c r="N42" s="175" t="s">
        <v>5</v>
      </c>
      <c r="O42" s="400" t="s">
        <v>5</v>
      </c>
      <c r="P42" s="396" t="s">
        <v>5</v>
      </c>
      <c r="Q42" s="175" t="s">
        <v>5</v>
      </c>
      <c r="R42" s="400" t="s">
        <v>5</v>
      </c>
      <c r="S42" s="396" t="s">
        <v>5</v>
      </c>
      <c r="T42" s="199" t="s">
        <v>5</v>
      </c>
      <c r="U42" s="19" t="s">
        <v>6</v>
      </c>
      <c r="V42" s="371">
        <v>100</v>
      </c>
      <c r="W42" s="4" t="str">
        <f t="shared" si="0"/>
        <v>A</v>
      </c>
    </row>
    <row r="43" spans="1:23" s="2" customFormat="1" ht="15" customHeight="1">
      <c r="A43" s="339" t="s">
        <v>43</v>
      </c>
      <c r="B43" s="266">
        <v>1</v>
      </c>
      <c r="C43" s="19" t="s">
        <v>8</v>
      </c>
      <c r="D43" s="302" t="s">
        <v>5</v>
      </c>
      <c r="E43" s="127">
        <v>15</v>
      </c>
      <c r="F43" s="145" t="str">
        <f>"/"&amp;ROUND(6885,0)&amp;"/"</f>
        <v>/6885/</v>
      </c>
      <c r="G43" s="146">
        <v>44753.4</v>
      </c>
      <c r="H43" s="175" t="s">
        <v>5</v>
      </c>
      <c r="I43" s="400" t="s">
        <v>5</v>
      </c>
      <c r="J43" s="396" t="s">
        <v>5</v>
      </c>
      <c r="K43" s="175" t="s">
        <v>5</v>
      </c>
      <c r="L43" s="400" t="s">
        <v>5</v>
      </c>
      <c r="M43" s="396" t="s">
        <v>5</v>
      </c>
      <c r="N43" s="175" t="s">
        <v>5</v>
      </c>
      <c r="O43" s="400" t="s">
        <v>5</v>
      </c>
      <c r="P43" s="396" t="s">
        <v>5</v>
      </c>
      <c r="Q43" s="175" t="s">
        <v>5</v>
      </c>
      <c r="R43" s="400" t="s">
        <v>5</v>
      </c>
      <c r="S43" s="396" t="s">
        <v>5</v>
      </c>
      <c r="T43" s="196">
        <f>G43*E43/100</f>
        <v>6713.01</v>
      </c>
      <c r="U43" s="19" t="s">
        <v>6</v>
      </c>
      <c r="V43" s="371">
        <v>100</v>
      </c>
      <c r="W43" s="4" t="str">
        <f t="shared" si="0"/>
        <v>A</v>
      </c>
    </row>
    <row r="44" spans="1:23" ht="15" customHeight="1">
      <c r="A44" s="235" t="s">
        <v>47</v>
      </c>
      <c r="B44" s="266">
        <v>1</v>
      </c>
      <c r="C44" s="19" t="s">
        <v>19</v>
      </c>
      <c r="D44" s="303" t="s">
        <v>5</v>
      </c>
      <c r="E44" s="127">
        <f>0.11*100</f>
        <v>11</v>
      </c>
      <c r="F44" s="114">
        <f>5200/52</f>
        <v>100</v>
      </c>
      <c r="G44" s="115">
        <f>34840/52</f>
        <v>670</v>
      </c>
      <c r="H44" s="127">
        <f>0.01*100</f>
        <v>1</v>
      </c>
      <c r="I44" s="145">
        <f>G44</f>
        <v>670</v>
      </c>
      <c r="J44" s="396" t="s">
        <v>5</v>
      </c>
      <c r="K44" s="120" t="s">
        <v>5</v>
      </c>
      <c r="L44" s="219" t="s">
        <v>5</v>
      </c>
      <c r="M44" s="180" t="s">
        <v>5</v>
      </c>
      <c r="N44" s="120" t="s">
        <v>5</v>
      </c>
      <c r="O44" s="219" t="s">
        <v>5</v>
      </c>
      <c r="P44" s="180" t="s">
        <v>5</v>
      </c>
      <c r="Q44" s="120" t="s">
        <v>5</v>
      </c>
      <c r="R44" s="219" t="s">
        <v>5</v>
      </c>
      <c r="S44" s="180" t="s">
        <v>5</v>
      </c>
      <c r="T44" s="174" t="s">
        <v>5</v>
      </c>
      <c r="U44" s="239" t="s">
        <v>5</v>
      </c>
      <c r="V44" s="372" t="s">
        <v>5</v>
      </c>
      <c r="W44" s="4" t="str">
        <f t="shared" si="0"/>
        <v/>
      </c>
    </row>
    <row r="45" spans="1:23" ht="15" customHeight="1">
      <c r="A45" s="246" t="s">
        <v>20</v>
      </c>
      <c r="B45" s="383">
        <v>1</v>
      </c>
      <c r="C45" s="292" t="s">
        <v>8</v>
      </c>
      <c r="D45" s="311" t="s">
        <v>5</v>
      </c>
      <c r="E45" s="293">
        <f>(0.062*100)+H45</f>
        <v>7.65</v>
      </c>
      <c r="F45" s="147">
        <v>0</v>
      </c>
      <c r="G45" s="148">
        <v>97500</v>
      </c>
      <c r="H45" s="293">
        <f>0.0145*100</f>
        <v>1.4500000000000002</v>
      </c>
      <c r="I45" s="147">
        <f>G45</f>
        <v>97500</v>
      </c>
      <c r="J45" s="158" t="s">
        <v>5</v>
      </c>
      <c r="K45" s="480" t="s">
        <v>5</v>
      </c>
      <c r="L45" s="481" t="s">
        <v>5</v>
      </c>
      <c r="M45" s="158" t="s">
        <v>5</v>
      </c>
      <c r="N45" s="480" t="s">
        <v>5</v>
      </c>
      <c r="O45" s="481" t="s">
        <v>5</v>
      </c>
      <c r="P45" s="158" t="s">
        <v>5</v>
      </c>
      <c r="Q45" s="480" t="s">
        <v>5</v>
      </c>
      <c r="R45" s="481" t="s">
        <v>5</v>
      </c>
      <c r="S45" s="158" t="s">
        <v>5</v>
      </c>
      <c r="T45" s="403" t="s">
        <v>5</v>
      </c>
      <c r="U45" s="249" t="s">
        <v>5</v>
      </c>
      <c r="V45" s="380" t="s">
        <v>5</v>
      </c>
      <c r="W45" s="4" t="str">
        <f t="shared" si="0"/>
        <v/>
      </c>
    </row>
    <row r="46" spans="1:23" ht="15" customHeight="1">
      <c r="A46" s="176"/>
      <c r="B46" s="169"/>
      <c r="C46" s="19"/>
      <c r="D46" s="132"/>
      <c r="E46" s="127"/>
      <c r="F46" s="152"/>
      <c r="G46" s="151"/>
      <c r="H46" s="151"/>
      <c r="I46" s="151"/>
      <c r="J46" s="151"/>
      <c r="K46" s="151"/>
      <c r="L46" s="151"/>
      <c r="M46" s="151"/>
      <c r="N46" s="151"/>
      <c r="O46" s="151"/>
      <c r="P46" s="151"/>
      <c r="Q46" s="151"/>
      <c r="R46" s="151"/>
      <c r="S46" s="151"/>
      <c r="T46" s="157"/>
      <c r="U46" s="165"/>
      <c r="V46" s="167"/>
    </row>
    <row r="47" spans="1:23" s="75" customFormat="1" ht="12.75" customHeight="1">
      <c r="A47" s="535" t="s">
        <v>94</v>
      </c>
      <c r="B47" s="535"/>
      <c r="C47" s="535"/>
      <c r="D47" s="548"/>
      <c r="E47" s="548"/>
      <c r="F47" s="548"/>
      <c r="G47" s="548"/>
      <c r="H47" s="548"/>
      <c r="I47" s="548"/>
      <c r="J47" s="548"/>
      <c r="K47" s="548"/>
      <c r="L47" s="548"/>
      <c r="M47" s="548"/>
      <c r="N47" s="548"/>
      <c r="O47" s="548"/>
      <c r="P47" s="548"/>
      <c r="Q47" s="548"/>
      <c r="R47" s="548"/>
      <c r="S47" s="548"/>
      <c r="T47" s="548"/>
      <c r="U47" s="549"/>
      <c r="V47" s="549"/>
    </row>
    <row r="48" spans="1:23" s="76" customFormat="1" ht="12.75" customHeight="1">
      <c r="A48" s="539" t="s">
        <v>95</v>
      </c>
      <c r="B48" s="539"/>
      <c r="C48" s="539"/>
      <c r="D48" s="550"/>
      <c r="E48" s="550"/>
      <c r="F48" s="550"/>
      <c r="G48" s="550"/>
      <c r="H48" s="550"/>
      <c r="I48" s="550"/>
      <c r="J48" s="550"/>
      <c r="K48" s="550"/>
      <c r="L48" s="550"/>
      <c r="M48" s="550"/>
      <c r="N48" s="550"/>
      <c r="O48" s="550"/>
      <c r="P48" s="550"/>
      <c r="Q48" s="550"/>
      <c r="R48" s="550"/>
      <c r="S48" s="550"/>
      <c r="T48" s="550"/>
      <c r="U48" s="551"/>
      <c r="V48" s="551"/>
    </row>
    <row r="49" spans="1:33" s="76" customFormat="1" ht="12.75" customHeight="1">
      <c r="A49" s="539" t="s">
        <v>107</v>
      </c>
      <c r="B49" s="539"/>
      <c r="C49" s="539"/>
      <c r="D49" s="550"/>
      <c r="E49" s="550"/>
      <c r="F49" s="550"/>
      <c r="G49" s="550"/>
      <c r="H49" s="550"/>
      <c r="I49" s="550"/>
      <c r="J49" s="550"/>
      <c r="K49" s="550"/>
      <c r="L49" s="550"/>
      <c r="M49" s="550"/>
      <c r="N49" s="550"/>
      <c r="O49" s="550"/>
      <c r="P49" s="550"/>
      <c r="Q49" s="550"/>
      <c r="R49" s="550"/>
      <c r="S49" s="550"/>
      <c r="T49" s="550"/>
      <c r="U49" s="551"/>
      <c r="V49" s="551"/>
    </row>
    <row r="50" spans="1:33" s="76" customFormat="1" ht="12.75" customHeight="1" thickBot="1">
      <c r="A50" s="539" t="s">
        <v>108</v>
      </c>
      <c r="B50" s="552"/>
      <c r="C50" s="539"/>
      <c r="D50" s="539"/>
      <c r="E50" s="539"/>
      <c r="F50" s="539"/>
      <c r="G50" s="539"/>
      <c r="H50" s="539"/>
      <c r="I50" s="539"/>
      <c r="J50" s="539"/>
      <c r="K50" s="539"/>
      <c r="L50" s="539"/>
      <c r="M50" s="539"/>
      <c r="N50" s="539"/>
      <c r="O50" s="539"/>
      <c r="P50" s="539"/>
      <c r="Q50" s="539"/>
      <c r="R50" s="539"/>
      <c r="S50" s="539"/>
      <c r="T50" s="539"/>
      <c r="U50" s="539"/>
      <c r="V50" s="539"/>
    </row>
    <row r="51" spans="1:33" s="76" customFormat="1" ht="12.75" customHeight="1">
      <c r="A51" s="516" t="s">
        <v>1</v>
      </c>
      <c r="B51" s="84" t="s">
        <v>122</v>
      </c>
      <c r="C51" s="509" t="s">
        <v>123</v>
      </c>
      <c r="D51" s="103"/>
      <c r="E51" s="103"/>
      <c r="F51" s="104"/>
      <c r="U51" s="99"/>
      <c r="V51" s="99"/>
    </row>
    <row r="52" spans="1:33" s="76" customFormat="1" ht="12.75" customHeight="1">
      <c r="A52" s="517"/>
      <c r="B52" s="85" t="s">
        <v>124</v>
      </c>
      <c r="C52" s="510" t="s">
        <v>126</v>
      </c>
      <c r="D52" s="105"/>
      <c r="E52" s="105"/>
      <c r="F52" s="106"/>
      <c r="U52" s="83"/>
      <c r="V52" s="83"/>
    </row>
    <row r="53" spans="1:33" s="76" customFormat="1" ht="12.75" customHeight="1">
      <c r="A53" s="517"/>
      <c r="B53" s="86" t="s">
        <v>125</v>
      </c>
      <c r="C53" s="511" t="s">
        <v>136</v>
      </c>
      <c r="D53" s="107"/>
      <c r="E53" s="107"/>
      <c r="F53" s="108"/>
      <c r="U53" s="83"/>
      <c r="V53" s="83"/>
    </row>
    <row r="54" spans="1:33" s="76" customFormat="1" ht="12.75" customHeight="1">
      <c r="A54" s="517"/>
      <c r="C54" s="78"/>
      <c r="D54" s="93"/>
      <c r="E54" s="93"/>
      <c r="F54" s="93"/>
      <c r="U54" s="83"/>
      <c r="V54" s="83"/>
    </row>
    <row r="55" spans="1:33" s="76" customFormat="1" ht="12.75" customHeight="1">
      <c r="A55" s="518" t="s">
        <v>127</v>
      </c>
      <c r="B55" s="84" t="s">
        <v>128</v>
      </c>
      <c r="C55" s="509" t="s">
        <v>129</v>
      </c>
      <c r="D55" s="103"/>
      <c r="E55" s="103"/>
      <c r="F55" s="104"/>
      <c r="U55" s="99"/>
      <c r="V55" s="99"/>
    </row>
    <row r="56" spans="1:33" s="76" customFormat="1" ht="12.75" customHeight="1">
      <c r="A56" s="517"/>
      <c r="B56" s="85" t="s">
        <v>130</v>
      </c>
      <c r="C56" s="510" t="s">
        <v>133</v>
      </c>
      <c r="D56" s="105"/>
      <c r="E56" s="105"/>
      <c r="F56" s="106"/>
      <c r="U56" s="83"/>
      <c r="V56" s="83"/>
    </row>
    <row r="57" spans="1:33" s="76" customFormat="1" ht="12.75" customHeight="1">
      <c r="A57" s="517"/>
      <c r="B57" s="85" t="s">
        <v>131</v>
      </c>
      <c r="C57" s="510" t="s">
        <v>132</v>
      </c>
      <c r="D57" s="105"/>
      <c r="E57" s="105"/>
      <c r="F57" s="106"/>
      <c r="U57" s="83"/>
      <c r="V57" s="83"/>
    </row>
    <row r="58" spans="1:33" s="76" customFormat="1" ht="12.75" customHeight="1">
      <c r="A58" s="517"/>
      <c r="B58" s="85" t="s">
        <v>134</v>
      </c>
      <c r="C58" s="510" t="s">
        <v>135</v>
      </c>
      <c r="D58" s="105"/>
      <c r="E58" s="105"/>
      <c r="F58" s="106"/>
      <c r="U58" s="83"/>
      <c r="V58" s="83"/>
    </row>
    <row r="59" spans="1:33" s="76" customFormat="1" ht="12.75" customHeight="1">
      <c r="A59" s="519"/>
      <c r="B59" s="86" t="s">
        <v>28</v>
      </c>
      <c r="C59" s="511" t="s">
        <v>214</v>
      </c>
      <c r="D59" s="109"/>
      <c r="E59" s="109"/>
      <c r="F59" s="110"/>
      <c r="U59" s="83"/>
      <c r="V59" s="83"/>
    </row>
    <row r="60" spans="1:33" s="76" customFormat="1" ht="12.75" customHeight="1">
      <c r="A60" s="520"/>
      <c r="B60" s="78"/>
      <c r="C60" s="78"/>
      <c r="D60" s="83"/>
      <c r="F60" s="83"/>
      <c r="G60" s="83"/>
      <c r="H60" s="83"/>
      <c r="I60" s="83"/>
      <c r="J60" s="83"/>
      <c r="K60" s="83"/>
      <c r="L60" s="83"/>
      <c r="M60" s="83"/>
      <c r="N60" s="83"/>
      <c r="O60" s="83"/>
      <c r="P60" s="83"/>
      <c r="Q60" s="83"/>
      <c r="R60" s="83"/>
      <c r="S60" s="83"/>
      <c r="T60" s="83"/>
      <c r="U60" s="83"/>
      <c r="V60" s="83"/>
    </row>
    <row r="61" spans="1:33" s="76" customFormat="1">
      <c r="A61" s="540" t="s">
        <v>96</v>
      </c>
      <c r="B61" s="540"/>
      <c r="C61" s="540"/>
      <c r="D61" s="540"/>
      <c r="E61" s="540"/>
      <c r="F61" s="540"/>
      <c r="G61" s="540"/>
      <c r="H61" s="540"/>
      <c r="I61" s="540"/>
      <c r="J61" s="540"/>
      <c r="K61" s="540"/>
      <c r="L61" s="540"/>
      <c r="M61" s="540"/>
      <c r="N61" s="540"/>
      <c r="O61" s="540"/>
      <c r="P61" s="540"/>
      <c r="Q61" s="540"/>
      <c r="R61" s="540"/>
      <c r="S61" s="540"/>
      <c r="T61" s="540"/>
      <c r="U61" s="540"/>
      <c r="V61" s="540"/>
    </row>
    <row r="62" spans="1:33" s="76" customFormat="1">
      <c r="A62" s="539" t="s">
        <v>97</v>
      </c>
      <c r="B62" s="539"/>
      <c r="C62" s="539"/>
      <c r="D62" s="539"/>
      <c r="E62" s="539"/>
      <c r="F62" s="539"/>
      <c r="G62" s="539"/>
      <c r="H62" s="539"/>
      <c r="I62" s="539"/>
      <c r="J62" s="539"/>
      <c r="K62" s="539"/>
      <c r="L62" s="539"/>
      <c r="M62" s="539"/>
      <c r="N62" s="539"/>
      <c r="O62" s="539"/>
      <c r="P62" s="539"/>
      <c r="Q62" s="539"/>
      <c r="R62" s="539"/>
      <c r="S62" s="539"/>
      <c r="T62" s="539"/>
      <c r="U62" s="539"/>
      <c r="V62" s="539"/>
    </row>
    <row r="63" spans="1:33" s="76" customFormat="1" ht="22.5" customHeight="1">
      <c r="A63" s="521" t="s">
        <v>98</v>
      </c>
      <c r="B63" s="177"/>
      <c r="C63" s="512"/>
      <c r="D63" s="177"/>
      <c r="E63" s="177"/>
      <c r="F63" s="177"/>
      <c r="G63" s="177"/>
      <c r="H63" s="177"/>
      <c r="I63" s="177"/>
      <c r="J63" s="177"/>
      <c r="K63" s="177"/>
      <c r="L63" s="177"/>
      <c r="M63" s="177"/>
      <c r="N63" s="177"/>
      <c r="O63" s="177"/>
      <c r="P63" s="177"/>
      <c r="Q63" s="177"/>
      <c r="R63" s="177"/>
      <c r="S63" s="177"/>
      <c r="T63" s="177"/>
      <c r="U63" s="177"/>
      <c r="V63" s="177"/>
    </row>
    <row r="64" spans="1:33" s="76" customFormat="1" ht="50.25" customHeight="1">
      <c r="A64" s="539" t="s">
        <v>238</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22.5" customHeight="1">
      <c r="A65" s="539" t="s">
        <v>226</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35.25" customHeight="1">
      <c r="A66" s="539" t="s">
        <v>227</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65.25" customHeight="1">
      <c r="A67" s="539" t="s">
        <v>228</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132" customHeight="1">
      <c r="A68" s="539" t="s">
        <v>229</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50.25" customHeight="1">
      <c r="A69" s="539" t="s">
        <v>230</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ht="29.25" customHeight="1">
      <c r="A71" s="543" t="s">
        <v>263</v>
      </c>
      <c r="B71" s="543"/>
      <c r="C71" s="543"/>
      <c r="D71" s="543"/>
      <c r="E71" s="543"/>
      <c r="F71" s="543"/>
      <c r="G71" s="543"/>
      <c r="H71" s="543"/>
      <c r="I71" s="543"/>
      <c r="J71" s="543"/>
      <c r="K71" s="543"/>
      <c r="L71" s="543"/>
      <c r="M71" s="543"/>
      <c r="N71" s="543"/>
      <c r="O71" s="543"/>
      <c r="P71" s="543"/>
      <c r="Q71" s="543"/>
      <c r="R71" s="543"/>
      <c r="S71" s="543"/>
      <c r="T71" s="543"/>
      <c r="U71" s="543"/>
      <c r="V71" s="543"/>
    </row>
    <row r="72" spans="1:33" ht="29.25" customHeight="1">
      <c r="A72" s="543" t="s">
        <v>137</v>
      </c>
      <c r="B72" s="543"/>
      <c r="C72" s="543"/>
      <c r="D72" s="543"/>
      <c r="E72" s="543"/>
      <c r="F72" s="543"/>
      <c r="G72" s="543"/>
      <c r="H72" s="543"/>
      <c r="I72" s="543"/>
      <c r="J72" s="543"/>
      <c r="K72" s="543"/>
      <c r="L72" s="543"/>
      <c r="M72" s="543"/>
      <c r="N72" s="543"/>
      <c r="O72" s="543"/>
      <c r="P72" s="543"/>
      <c r="Q72" s="543"/>
      <c r="R72" s="543"/>
      <c r="S72" s="543"/>
      <c r="T72" s="543"/>
      <c r="U72" s="543"/>
      <c r="V72" s="543"/>
    </row>
    <row r="73" spans="1:33" ht="29.25" customHeight="1">
      <c r="A73" s="543" t="s">
        <v>138</v>
      </c>
      <c r="B73" s="543"/>
      <c r="C73" s="543"/>
      <c r="D73" s="543"/>
      <c r="E73" s="543"/>
      <c r="F73" s="543"/>
      <c r="G73" s="543"/>
      <c r="H73" s="543"/>
      <c r="I73" s="543"/>
      <c r="J73" s="543"/>
      <c r="K73" s="543"/>
      <c r="L73" s="543"/>
      <c r="M73" s="543"/>
      <c r="N73" s="543"/>
      <c r="O73" s="543"/>
      <c r="P73" s="543"/>
      <c r="Q73" s="543"/>
      <c r="R73" s="543"/>
      <c r="S73" s="543"/>
      <c r="T73" s="543"/>
      <c r="U73" s="543"/>
      <c r="V73" s="543"/>
    </row>
    <row r="74" spans="1:33" ht="29.25" customHeight="1">
      <c r="A74" s="543" t="s">
        <v>139</v>
      </c>
      <c r="B74" s="543"/>
      <c r="C74" s="543"/>
      <c r="D74" s="543"/>
      <c r="E74" s="543"/>
      <c r="F74" s="543"/>
      <c r="G74" s="543"/>
      <c r="H74" s="543"/>
      <c r="I74" s="543"/>
      <c r="J74" s="543"/>
      <c r="K74" s="543"/>
      <c r="L74" s="543"/>
      <c r="M74" s="543"/>
      <c r="N74" s="543"/>
      <c r="O74" s="543"/>
      <c r="P74" s="543"/>
      <c r="Q74" s="543"/>
      <c r="R74" s="543"/>
      <c r="S74" s="543"/>
      <c r="T74" s="543"/>
      <c r="U74" s="543"/>
      <c r="V74" s="543"/>
    </row>
    <row r="75" spans="1:33" ht="29.25" customHeight="1">
      <c r="A75" s="543" t="s">
        <v>176</v>
      </c>
      <c r="B75" s="543"/>
      <c r="C75" s="543"/>
      <c r="D75" s="543"/>
      <c r="E75" s="543"/>
      <c r="F75" s="543"/>
      <c r="G75" s="543"/>
      <c r="H75" s="543"/>
      <c r="I75" s="543"/>
      <c r="J75" s="543"/>
      <c r="K75" s="543"/>
      <c r="L75" s="543"/>
      <c r="M75" s="543"/>
      <c r="N75" s="543"/>
      <c r="O75" s="543"/>
      <c r="P75" s="543"/>
      <c r="Q75" s="543"/>
      <c r="R75" s="543"/>
      <c r="S75" s="543"/>
      <c r="T75" s="543"/>
      <c r="U75" s="543"/>
      <c r="V75" s="543"/>
    </row>
    <row r="76" spans="1:33" s="76" customFormat="1" ht="20.25" customHeight="1">
      <c r="A76" s="540" t="s">
        <v>217</v>
      </c>
      <c r="B76" s="540"/>
      <c r="C76" s="540"/>
      <c r="D76" s="540"/>
      <c r="E76" s="540"/>
      <c r="F76" s="540"/>
      <c r="G76" s="540"/>
      <c r="H76" s="540"/>
      <c r="I76" s="540"/>
      <c r="J76" s="540"/>
      <c r="K76" s="540"/>
      <c r="L76" s="540"/>
      <c r="M76" s="540"/>
      <c r="N76" s="540"/>
      <c r="O76" s="540"/>
      <c r="P76" s="540"/>
      <c r="Q76" s="540"/>
      <c r="R76" s="540"/>
      <c r="S76" s="540"/>
      <c r="T76" s="540"/>
      <c r="U76" s="540"/>
      <c r="V76" s="540"/>
    </row>
    <row r="77" spans="1:33" ht="42" customHeight="1">
      <c r="A77" s="543" t="s">
        <v>243</v>
      </c>
      <c r="B77" s="543"/>
      <c r="C77" s="543"/>
      <c r="D77" s="543"/>
      <c r="E77" s="543"/>
      <c r="F77" s="543"/>
      <c r="G77" s="543"/>
      <c r="H77" s="543"/>
      <c r="I77" s="543"/>
      <c r="J77" s="543"/>
      <c r="K77" s="543"/>
      <c r="L77" s="543"/>
      <c r="M77" s="543"/>
      <c r="N77" s="543"/>
      <c r="O77" s="543"/>
      <c r="P77" s="543"/>
      <c r="Q77" s="543"/>
      <c r="R77" s="543"/>
      <c r="S77" s="543"/>
      <c r="T77" s="543"/>
      <c r="U77" s="543"/>
      <c r="V77" s="543"/>
    </row>
    <row r="78" spans="1:33" ht="52.5" customHeight="1">
      <c r="A78" s="543" t="s">
        <v>141</v>
      </c>
      <c r="B78" s="543"/>
      <c r="C78" s="543"/>
      <c r="D78" s="543"/>
      <c r="E78" s="543"/>
      <c r="F78" s="543"/>
      <c r="G78" s="543"/>
      <c r="H78" s="543"/>
      <c r="I78" s="543"/>
      <c r="J78" s="543"/>
      <c r="K78" s="543"/>
      <c r="L78" s="543"/>
      <c r="M78" s="543"/>
      <c r="N78" s="543"/>
      <c r="O78" s="543"/>
      <c r="P78" s="543"/>
      <c r="Q78" s="543"/>
      <c r="R78" s="543"/>
      <c r="S78" s="543"/>
      <c r="T78" s="543"/>
      <c r="U78" s="543"/>
      <c r="V78" s="543"/>
    </row>
    <row r="79" spans="1:33" ht="52.5" customHeight="1">
      <c r="A79" s="543" t="s">
        <v>182</v>
      </c>
      <c r="B79" s="543"/>
      <c r="C79" s="543"/>
      <c r="D79" s="543"/>
      <c r="E79" s="543"/>
      <c r="F79" s="543"/>
      <c r="G79" s="543"/>
      <c r="H79" s="543"/>
      <c r="I79" s="543"/>
      <c r="J79" s="543"/>
      <c r="K79" s="543"/>
      <c r="L79" s="543"/>
      <c r="M79" s="543"/>
      <c r="N79" s="543"/>
      <c r="O79" s="543"/>
      <c r="P79" s="543"/>
      <c r="Q79" s="543"/>
      <c r="R79" s="543"/>
      <c r="S79" s="543"/>
      <c r="T79" s="543"/>
      <c r="U79" s="543"/>
      <c r="V79" s="543"/>
    </row>
    <row r="80" spans="1:33" ht="29.25" customHeight="1">
      <c r="A80" s="543" t="s">
        <v>183</v>
      </c>
      <c r="B80" s="543"/>
      <c r="C80" s="543"/>
      <c r="D80" s="543"/>
      <c r="E80" s="543"/>
      <c r="F80" s="543"/>
      <c r="G80" s="543"/>
      <c r="H80" s="543"/>
      <c r="I80" s="543"/>
      <c r="J80" s="543"/>
      <c r="K80" s="543"/>
      <c r="L80" s="543"/>
      <c r="M80" s="543"/>
      <c r="N80" s="543"/>
      <c r="O80" s="543"/>
      <c r="P80" s="543"/>
      <c r="Q80" s="543"/>
      <c r="R80" s="543"/>
      <c r="S80" s="543"/>
      <c r="T80" s="543"/>
      <c r="U80" s="543"/>
      <c r="V80" s="543"/>
    </row>
    <row r="81" spans="1:22" ht="58.5" customHeight="1">
      <c r="A81" s="543" t="s">
        <v>184</v>
      </c>
      <c r="B81" s="543"/>
      <c r="C81" s="543"/>
      <c r="D81" s="543"/>
      <c r="E81" s="543"/>
      <c r="F81" s="543"/>
      <c r="G81" s="543"/>
      <c r="H81" s="543"/>
      <c r="I81" s="543"/>
      <c r="J81" s="543"/>
      <c r="K81" s="543"/>
      <c r="L81" s="543"/>
      <c r="M81" s="543"/>
      <c r="N81" s="543"/>
      <c r="O81" s="543"/>
      <c r="P81" s="543"/>
      <c r="Q81" s="543"/>
      <c r="R81" s="543"/>
      <c r="S81" s="543"/>
      <c r="T81" s="543"/>
      <c r="U81" s="543"/>
      <c r="V81" s="543"/>
    </row>
    <row r="82" spans="1:22" ht="29.25" customHeight="1">
      <c r="A82" s="543" t="s">
        <v>185</v>
      </c>
      <c r="B82" s="543"/>
      <c r="C82" s="543"/>
      <c r="D82" s="543"/>
      <c r="E82" s="543"/>
      <c r="F82" s="543"/>
      <c r="G82" s="543"/>
      <c r="H82" s="543"/>
      <c r="I82" s="543"/>
      <c r="J82" s="543"/>
      <c r="K82" s="543"/>
      <c r="L82" s="543"/>
      <c r="M82" s="543"/>
      <c r="N82" s="543"/>
      <c r="O82" s="543"/>
      <c r="P82" s="543"/>
      <c r="Q82" s="543"/>
      <c r="R82" s="543"/>
      <c r="S82" s="543"/>
      <c r="T82" s="543"/>
      <c r="U82" s="543"/>
      <c r="V82" s="543"/>
    </row>
    <row r="83" spans="1:22" ht="29.25" customHeight="1">
      <c r="A83" s="543" t="s">
        <v>181</v>
      </c>
      <c r="B83" s="543"/>
      <c r="C83" s="543"/>
      <c r="D83" s="543"/>
      <c r="E83" s="543"/>
      <c r="F83" s="543"/>
      <c r="G83" s="543"/>
      <c r="H83" s="543"/>
      <c r="I83" s="543"/>
      <c r="J83" s="543"/>
      <c r="K83" s="543"/>
      <c r="L83" s="543"/>
      <c r="M83" s="543"/>
      <c r="N83" s="543"/>
      <c r="O83" s="543"/>
      <c r="P83" s="543"/>
      <c r="Q83" s="543"/>
      <c r="R83" s="543"/>
      <c r="S83" s="543"/>
      <c r="T83" s="543"/>
      <c r="U83" s="543"/>
      <c r="V83" s="543"/>
    </row>
    <row r="84" spans="1:22" ht="29.25" customHeight="1">
      <c r="A84" s="543" t="s">
        <v>146</v>
      </c>
      <c r="B84" s="543"/>
      <c r="C84" s="543"/>
      <c r="D84" s="543"/>
      <c r="E84" s="543"/>
      <c r="F84" s="543"/>
      <c r="G84" s="543"/>
      <c r="H84" s="543"/>
      <c r="I84" s="543"/>
      <c r="J84" s="543"/>
      <c r="K84" s="543"/>
      <c r="L84" s="543"/>
      <c r="M84" s="543"/>
      <c r="N84" s="543"/>
      <c r="O84" s="543"/>
      <c r="P84" s="543"/>
      <c r="Q84" s="543"/>
      <c r="R84" s="543"/>
      <c r="S84" s="543"/>
      <c r="T84" s="543"/>
      <c r="U84" s="543"/>
      <c r="V84" s="543"/>
    </row>
    <row r="85" spans="1:22" ht="29.25" customHeight="1">
      <c r="A85" s="543" t="s">
        <v>186</v>
      </c>
      <c r="B85" s="543"/>
      <c r="C85" s="543"/>
      <c r="D85" s="543"/>
      <c r="E85" s="543"/>
      <c r="F85" s="543"/>
      <c r="G85" s="543"/>
      <c r="H85" s="543"/>
      <c r="I85" s="543"/>
      <c r="J85" s="543"/>
      <c r="K85" s="543"/>
      <c r="L85" s="543"/>
      <c r="M85" s="543"/>
      <c r="N85" s="543"/>
      <c r="O85" s="543"/>
      <c r="P85" s="543"/>
      <c r="Q85" s="543"/>
      <c r="R85" s="543"/>
      <c r="S85" s="543"/>
      <c r="T85" s="543"/>
      <c r="U85" s="543"/>
      <c r="V85" s="543"/>
    </row>
    <row r="86" spans="1:22" ht="29.25" customHeight="1">
      <c r="A86" s="543" t="s">
        <v>100</v>
      </c>
      <c r="B86" s="543"/>
      <c r="C86" s="543"/>
      <c r="D86" s="543"/>
      <c r="E86" s="543"/>
      <c r="F86" s="543"/>
      <c r="G86" s="543"/>
      <c r="H86" s="543"/>
      <c r="I86" s="543"/>
      <c r="J86" s="543"/>
      <c r="K86" s="543"/>
      <c r="L86" s="543"/>
      <c r="M86" s="543"/>
      <c r="N86" s="543"/>
      <c r="O86" s="543"/>
      <c r="P86" s="543"/>
      <c r="Q86" s="543"/>
      <c r="R86" s="543"/>
      <c r="S86" s="543"/>
      <c r="T86" s="543"/>
      <c r="U86" s="543"/>
      <c r="V86" s="543"/>
    </row>
    <row r="87" spans="1:22" s="40" customFormat="1" ht="29.25" customHeight="1">
      <c r="A87" s="544" t="s">
        <v>148</v>
      </c>
      <c r="B87" s="544"/>
      <c r="C87" s="544"/>
      <c r="D87" s="544"/>
      <c r="E87" s="544"/>
      <c r="F87" s="544"/>
      <c r="G87" s="544"/>
      <c r="H87" s="544"/>
      <c r="I87" s="544"/>
      <c r="J87" s="544"/>
      <c r="K87" s="544"/>
      <c r="L87" s="544"/>
      <c r="M87" s="544"/>
      <c r="N87" s="544"/>
      <c r="O87" s="544"/>
      <c r="P87" s="544"/>
      <c r="Q87" s="544"/>
      <c r="R87" s="544"/>
      <c r="S87" s="544"/>
      <c r="T87" s="544"/>
      <c r="U87" s="544"/>
      <c r="V87" s="544"/>
    </row>
    <row r="88" spans="1:22" ht="29.25" customHeight="1">
      <c r="A88" s="543" t="s">
        <v>149</v>
      </c>
      <c r="B88" s="543"/>
      <c r="C88" s="543"/>
      <c r="D88" s="543"/>
      <c r="E88" s="543"/>
      <c r="F88" s="543"/>
      <c r="G88" s="543"/>
      <c r="H88" s="543"/>
      <c r="I88" s="543"/>
      <c r="J88" s="543"/>
      <c r="K88" s="543"/>
      <c r="L88" s="543"/>
      <c r="M88" s="543"/>
      <c r="N88" s="543"/>
      <c r="O88" s="543"/>
      <c r="P88" s="543"/>
      <c r="Q88" s="543"/>
      <c r="R88" s="543"/>
      <c r="S88" s="543"/>
      <c r="T88" s="543"/>
      <c r="U88" s="543"/>
      <c r="V88" s="543"/>
    </row>
    <row r="89" spans="1:22" s="40" customFormat="1" ht="75" customHeight="1">
      <c r="A89" s="544" t="s">
        <v>101</v>
      </c>
      <c r="B89" s="544"/>
      <c r="C89" s="544"/>
      <c r="D89" s="544"/>
      <c r="E89" s="544"/>
      <c r="F89" s="544"/>
      <c r="G89" s="544"/>
      <c r="H89" s="544"/>
      <c r="I89" s="544"/>
      <c r="J89" s="544"/>
      <c r="K89" s="544"/>
      <c r="L89" s="544"/>
      <c r="M89" s="544"/>
      <c r="N89" s="544"/>
      <c r="O89" s="544"/>
      <c r="P89" s="544"/>
      <c r="Q89" s="544"/>
      <c r="R89" s="544"/>
      <c r="S89" s="544"/>
      <c r="T89" s="544"/>
      <c r="U89" s="544"/>
      <c r="V89" s="544"/>
    </row>
  </sheetData>
  <mergeCells count="37">
    <mergeCell ref="A89:V89"/>
    <mergeCell ref="A84:V84"/>
    <mergeCell ref="A85:V85"/>
    <mergeCell ref="A86:V86"/>
    <mergeCell ref="A81:V81"/>
    <mergeCell ref="A82:V82"/>
    <mergeCell ref="A83:V83"/>
    <mergeCell ref="A87:V87"/>
    <mergeCell ref="A88:V88"/>
    <mergeCell ref="A79:V79"/>
    <mergeCell ref="A80:V80"/>
    <mergeCell ref="A74:V74"/>
    <mergeCell ref="A75:V75"/>
    <mergeCell ref="A71:V71"/>
    <mergeCell ref="A72:V72"/>
    <mergeCell ref="A77:V77"/>
    <mergeCell ref="A78:V78"/>
    <mergeCell ref="A73:V73"/>
    <mergeCell ref="A76:V76"/>
    <mergeCell ref="A68:V68"/>
    <mergeCell ref="A69:V69"/>
    <mergeCell ref="A70:V70"/>
    <mergeCell ref="A47:V47"/>
    <mergeCell ref="A48:V48"/>
    <mergeCell ref="A49:V49"/>
    <mergeCell ref="A50:V50"/>
    <mergeCell ref="A61:V61"/>
    <mergeCell ref="A62:V62"/>
    <mergeCell ref="A64:V64"/>
    <mergeCell ref="A65:V65"/>
    <mergeCell ref="A66:V66"/>
    <mergeCell ref="A67:V67"/>
    <mergeCell ref="F3:G3"/>
    <mergeCell ref="I3:J3"/>
    <mergeCell ref="L3:M3"/>
    <mergeCell ref="O3:P3"/>
    <mergeCell ref="R3:S3"/>
  </mergeCells>
  <phoneticPr fontId="5" type="noConversion"/>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88"/>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11" customWidth="1"/>
    <col min="5" max="5" width="8.7109375" style="2" customWidth="1"/>
    <col min="6" max="7" width="12.7109375" style="2" customWidth="1"/>
    <col min="8" max="8" width="8.7109375" style="2" customWidth="1"/>
    <col min="9" max="10" width="12.7109375" style="2" customWidth="1"/>
    <col min="11" max="11" width="8.7109375" style="2" customWidth="1"/>
    <col min="12" max="13" width="12.7109375" style="2" customWidth="1"/>
    <col min="14" max="14" width="8.7109375" style="2" customWidth="1"/>
    <col min="15" max="16" width="12.7109375" style="2" customWidth="1"/>
    <col min="17" max="17" width="8.7109375" style="2" customWidth="1"/>
    <col min="18" max="19" width="12.7109375" style="2" customWidth="1"/>
    <col min="20" max="20" width="12.7109375" style="11" customWidth="1"/>
    <col min="21" max="21" width="5" style="2" bestFit="1" customWidth="1"/>
    <col min="22" max="22" width="15.42578125" style="13" customWidth="1"/>
    <col min="23" max="23" width="12.7109375" style="4" hidden="1" customWidth="1"/>
    <col min="24" max="29" width="12.7109375" style="4" customWidth="1"/>
    <col min="30" max="16384" width="9.140625" style="4"/>
  </cols>
  <sheetData>
    <row r="1" spans="1:23" s="43" customFormat="1" ht="30" customHeight="1">
      <c r="A1" s="514" t="s">
        <v>40</v>
      </c>
      <c r="B1" s="102"/>
      <c r="C1" s="508"/>
      <c r="D1" s="49"/>
      <c r="E1" s="45"/>
      <c r="F1" s="45"/>
      <c r="G1" s="45"/>
      <c r="H1" s="45"/>
      <c r="I1" s="45"/>
      <c r="J1" s="45"/>
      <c r="K1" s="45"/>
      <c r="L1" s="45"/>
      <c r="M1" s="45"/>
      <c r="N1" s="45"/>
      <c r="O1" s="45"/>
      <c r="P1" s="45"/>
      <c r="Q1" s="45"/>
      <c r="R1" s="45"/>
      <c r="S1" s="45"/>
      <c r="T1" s="49"/>
      <c r="U1" s="45"/>
      <c r="V1" s="51"/>
    </row>
    <row r="2" spans="1:23" s="43" customFormat="1" ht="30" customHeight="1">
      <c r="A2" s="514" t="s">
        <v>103</v>
      </c>
      <c r="B2" s="102"/>
      <c r="C2" s="508"/>
      <c r="D2" s="49"/>
      <c r="E2" s="45"/>
      <c r="F2" s="45"/>
      <c r="G2" s="45"/>
      <c r="H2" s="45"/>
      <c r="I2" s="45"/>
      <c r="J2" s="45"/>
      <c r="K2" s="45"/>
      <c r="L2" s="45"/>
      <c r="M2" s="45"/>
      <c r="N2" s="45"/>
      <c r="O2" s="45"/>
      <c r="P2" s="45"/>
      <c r="Q2" s="45"/>
      <c r="R2" s="45"/>
      <c r="S2" s="45"/>
      <c r="T2" s="49"/>
      <c r="U2" s="45"/>
      <c r="V2" s="51"/>
    </row>
    <row r="3" spans="1:23" s="43" customFormat="1" ht="30" customHeight="1">
      <c r="A3" s="514"/>
      <c r="B3" s="102"/>
      <c r="C3" s="508"/>
      <c r="D3" s="49"/>
      <c r="E3" s="45"/>
      <c r="F3" s="546" t="s">
        <v>248</v>
      </c>
      <c r="G3" s="547"/>
      <c r="H3" s="45"/>
      <c r="I3" s="546" t="s">
        <v>248</v>
      </c>
      <c r="J3" s="547"/>
      <c r="K3" s="45"/>
      <c r="L3" s="546" t="s">
        <v>248</v>
      </c>
      <c r="M3" s="547"/>
      <c r="N3" s="45"/>
      <c r="O3" s="546" t="s">
        <v>248</v>
      </c>
      <c r="P3" s="547"/>
      <c r="Q3" s="45"/>
      <c r="R3" s="546" t="s">
        <v>248</v>
      </c>
      <c r="S3" s="547"/>
      <c r="T3" s="49"/>
      <c r="U3" s="45"/>
      <c r="V3" s="51"/>
    </row>
    <row r="4" spans="1:23"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44" t="s">
        <v>33</v>
      </c>
      <c r="B5" s="299">
        <v>0</v>
      </c>
      <c r="C5" s="270" t="s">
        <v>250</v>
      </c>
      <c r="D5" s="384" t="s">
        <v>5</v>
      </c>
      <c r="E5" s="363" t="s">
        <v>5</v>
      </c>
      <c r="F5" s="401" t="s">
        <v>5</v>
      </c>
      <c r="G5" s="391" t="s">
        <v>5</v>
      </c>
      <c r="H5" s="365"/>
      <c r="I5" s="401"/>
      <c r="J5" s="391"/>
      <c r="K5" s="365"/>
      <c r="L5" s="401"/>
      <c r="M5" s="391"/>
      <c r="N5" s="365"/>
      <c r="O5" s="401"/>
      <c r="P5" s="391"/>
      <c r="Q5" s="365"/>
      <c r="R5" s="401"/>
      <c r="S5" s="391"/>
      <c r="T5" s="206" t="s">
        <v>5</v>
      </c>
      <c r="U5" s="270" t="s">
        <v>5</v>
      </c>
      <c r="V5" s="370" t="s">
        <v>5</v>
      </c>
      <c r="W5" s="4" t="str">
        <f>IF(U5="TY","A",IF(U5="TY/TYs","AB",IF(U5="TYs", "B",IF(U5="TC","C",IF(U5="-","",)))))</f>
        <v/>
      </c>
    </row>
    <row r="6" spans="1:23" ht="15" customHeight="1">
      <c r="A6" s="339" t="s">
        <v>50</v>
      </c>
      <c r="B6" s="266">
        <v>1</v>
      </c>
      <c r="C6" s="28" t="s">
        <v>7</v>
      </c>
      <c r="D6" s="302" t="s">
        <v>5</v>
      </c>
      <c r="E6" s="127">
        <f>3.95+3+10.25+(0.5+0.5)*6/7</f>
        <v>18.057142857142857</v>
      </c>
      <c r="F6" s="145" t="str">
        <f>"["&amp;333.16*14&amp;"]"</f>
        <v>[4664.24]</v>
      </c>
      <c r="G6" s="146">
        <f>3750*14</f>
        <v>52500</v>
      </c>
      <c r="H6" s="175" t="s">
        <v>5</v>
      </c>
      <c r="I6" s="400" t="s">
        <v>5</v>
      </c>
      <c r="J6" s="396" t="s">
        <v>5</v>
      </c>
      <c r="K6" s="175" t="s">
        <v>5</v>
      </c>
      <c r="L6" s="400" t="s">
        <v>5</v>
      </c>
      <c r="M6" s="396" t="s">
        <v>5</v>
      </c>
      <c r="N6" s="175" t="s">
        <v>5</v>
      </c>
      <c r="O6" s="400" t="s">
        <v>5</v>
      </c>
      <c r="P6" s="396" t="s">
        <v>5</v>
      </c>
      <c r="Q6" s="175" t="s">
        <v>5</v>
      </c>
      <c r="R6" s="400" t="s">
        <v>5</v>
      </c>
      <c r="S6" s="396" t="s">
        <v>5</v>
      </c>
      <c r="T6" s="192">
        <f>G6*E6/100</f>
        <v>9480</v>
      </c>
      <c r="U6" s="19" t="s">
        <v>6</v>
      </c>
      <c r="V6" s="371">
        <v>100</v>
      </c>
      <c r="W6" s="4" t="str">
        <f t="shared" ref="W6:W45" si="0">IF(U6="TY","A",IF(U6="TY/TYs","AB",IF(U6="TYs", "B",IF(U6="TC","C",IF(U6="-","",)))))</f>
        <v>A</v>
      </c>
    </row>
    <row r="7" spans="1:23" ht="15" customHeight="1">
      <c r="A7" s="235" t="s">
        <v>26</v>
      </c>
      <c r="B7" s="267">
        <v>1</v>
      </c>
      <c r="C7" s="19" t="s">
        <v>7</v>
      </c>
      <c r="D7" s="302" t="s">
        <v>5</v>
      </c>
      <c r="E7" s="127">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4" t="str">
        <f t="shared" si="0"/>
        <v>A</v>
      </c>
    </row>
    <row r="8" spans="1:23" ht="15" customHeight="1">
      <c r="A8" s="235" t="s">
        <v>49</v>
      </c>
      <c r="B8" s="267">
        <v>1</v>
      </c>
      <c r="C8" s="19" t="s">
        <v>8</v>
      </c>
      <c r="D8" s="303" t="s">
        <v>5</v>
      </c>
      <c r="E8" s="127">
        <f>0.0187*100</f>
        <v>1.87</v>
      </c>
      <c r="F8" s="145">
        <v>0</v>
      </c>
      <c r="G8" s="146">
        <v>3500</v>
      </c>
      <c r="H8" s="127">
        <f>E8+(0.0495*100)</f>
        <v>6.82</v>
      </c>
      <c r="I8" s="145">
        <f>G8</f>
        <v>3500</v>
      </c>
      <c r="J8" s="146">
        <f>729.3/0.0187</f>
        <v>38999.999999999993</v>
      </c>
      <c r="K8" s="127">
        <f>0.0495*100</f>
        <v>4.95</v>
      </c>
      <c r="L8" s="145">
        <f>J8</f>
        <v>38999.999999999993</v>
      </c>
      <c r="M8" s="146">
        <f>(1910.7/0.0495)+3500</f>
        <v>42100</v>
      </c>
      <c r="N8" s="175" t="s">
        <v>5</v>
      </c>
      <c r="O8" s="400" t="s">
        <v>5</v>
      </c>
      <c r="P8" s="396" t="s">
        <v>5</v>
      </c>
      <c r="Q8" s="175" t="s">
        <v>5</v>
      </c>
      <c r="R8" s="400" t="s">
        <v>5</v>
      </c>
      <c r="S8" s="396" t="s">
        <v>5</v>
      </c>
      <c r="T8" s="192">
        <f>(G8-F8)*E8/100 + (J8-I8)*H8/100 + (M8-L8)*K8/100</f>
        <v>2640</v>
      </c>
      <c r="U8" s="67" t="s">
        <v>5</v>
      </c>
      <c r="V8" s="372" t="s">
        <v>5</v>
      </c>
      <c r="W8" s="4" t="str">
        <f t="shared" si="0"/>
        <v/>
      </c>
    </row>
    <row r="9" spans="1:23" ht="15" customHeight="1">
      <c r="A9" s="235" t="s">
        <v>66</v>
      </c>
      <c r="B9" s="267">
        <v>1</v>
      </c>
      <c r="C9" s="19" t="s">
        <v>7</v>
      </c>
      <c r="D9" s="303" t="s">
        <v>5</v>
      </c>
      <c r="E9" s="127">
        <f>0.07*100</f>
        <v>7.0000000000000009</v>
      </c>
      <c r="F9" s="145">
        <v>0</v>
      </c>
      <c r="G9" s="146">
        <f>13202194/12</f>
        <v>1100182.8333333333</v>
      </c>
      <c r="H9" s="175" t="s">
        <v>5</v>
      </c>
      <c r="I9" s="400" t="s">
        <v>5</v>
      </c>
      <c r="J9" s="396" t="s">
        <v>5</v>
      </c>
      <c r="K9" s="175" t="s">
        <v>5</v>
      </c>
      <c r="L9" s="400" t="s">
        <v>5</v>
      </c>
      <c r="M9" s="396" t="s">
        <v>5</v>
      </c>
      <c r="N9" s="175" t="s">
        <v>5</v>
      </c>
      <c r="O9" s="400" t="s">
        <v>5</v>
      </c>
      <c r="P9" s="396" t="s">
        <v>5</v>
      </c>
      <c r="Q9" s="175" t="s">
        <v>5</v>
      </c>
      <c r="R9" s="400" t="s">
        <v>5</v>
      </c>
      <c r="S9" s="396" t="s">
        <v>5</v>
      </c>
      <c r="T9" s="192">
        <f>E9/100*G9</f>
        <v>77012.79833333334</v>
      </c>
      <c r="U9" s="19" t="s">
        <v>5</v>
      </c>
      <c r="V9" s="371" t="s">
        <v>5</v>
      </c>
      <c r="W9" s="4" t="str">
        <f t="shared" si="0"/>
        <v/>
      </c>
    </row>
    <row r="10" spans="1:23" ht="15" customHeight="1">
      <c r="A10" s="235" t="s">
        <v>22</v>
      </c>
      <c r="B10" s="267">
        <v>1</v>
      </c>
      <c r="C10" s="28" t="s">
        <v>7</v>
      </c>
      <c r="D10" s="304" t="s">
        <v>5</v>
      </c>
      <c r="E10" s="127">
        <f>0.125*100</f>
        <v>12.5</v>
      </c>
      <c r="F10" s="319" t="s">
        <v>5</v>
      </c>
      <c r="G10" s="320" t="s">
        <v>5</v>
      </c>
      <c r="H10" s="163" t="s">
        <v>5</v>
      </c>
      <c r="I10" s="395" t="s">
        <v>5</v>
      </c>
      <c r="J10" s="472" t="s">
        <v>5</v>
      </c>
      <c r="K10" s="163" t="s">
        <v>5</v>
      </c>
      <c r="L10" s="395" t="s">
        <v>5</v>
      </c>
      <c r="M10" s="472" t="s">
        <v>5</v>
      </c>
      <c r="N10" s="163" t="s">
        <v>5</v>
      </c>
      <c r="O10" s="395" t="s">
        <v>5</v>
      </c>
      <c r="P10" s="472" t="s">
        <v>5</v>
      </c>
      <c r="Q10" s="163" t="s">
        <v>5</v>
      </c>
      <c r="R10" s="395" t="s">
        <v>5</v>
      </c>
      <c r="S10" s="472" t="s">
        <v>5</v>
      </c>
      <c r="T10" s="193" t="s">
        <v>5</v>
      </c>
      <c r="U10" s="28" t="s">
        <v>6</v>
      </c>
      <c r="V10" s="373">
        <v>100</v>
      </c>
      <c r="W10" s="4" t="str">
        <f t="shared" si="0"/>
        <v>A</v>
      </c>
    </row>
    <row r="11" spans="1:23" ht="15" customHeight="1">
      <c r="A11" s="235" t="s">
        <v>67</v>
      </c>
      <c r="B11" s="267">
        <v>1</v>
      </c>
      <c r="C11" s="19" t="s">
        <v>8</v>
      </c>
      <c r="D11" s="385">
        <v>975.6</v>
      </c>
      <c r="E11" s="207" t="s">
        <v>5</v>
      </c>
      <c r="F11" s="395" t="s">
        <v>5</v>
      </c>
      <c r="G11" s="396" t="s">
        <v>5</v>
      </c>
      <c r="H11" s="175" t="s">
        <v>5</v>
      </c>
      <c r="I11" s="400" t="s">
        <v>5</v>
      </c>
      <c r="J11" s="396" t="s">
        <v>5</v>
      </c>
      <c r="K11" s="175" t="s">
        <v>5</v>
      </c>
      <c r="L11" s="400" t="s">
        <v>5</v>
      </c>
      <c r="M11" s="396" t="s">
        <v>5</v>
      </c>
      <c r="N11" s="175" t="s">
        <v>5</v>
      </c>
      <c r="O11" s="400" t="s">
        <v>5</v>
      </c>
      <c r="P11" s="396" t="s">
        <v>5</v>
      </c>
      <c r="Q11" s="175" t="s">
        <v>5</v>
      </c>
      <c r="R11" s="400" t="s">
        <v>5</v>
      </c>
      <c r="S11" s="396" t="s">
        <v>5</v>
      </c>
      <c r="T11" s="188" t="s">
        <v>5</v>
      </c>
      <c r="U11" s="19" t="s">
        <v>6</v>
      </c>
      <c r="V11" s="374">
        <v>100</v>
      </c>
      <c r="W11" s="4" t="str">
        <f t="shared" si="0"/>
        <v>A</v>
      </c>
    </row>
    <row r="12" spans="1:23" ht="15" customHeight="1">
      <c r="A12" s="235" t="s">
        <v>58</v>
      </c>
      <c r="B12" s="267">
        <v>1</v>
      </c>
      <c r="C12" s="19" t="s">
        <v>7</v>
      </c>
      <c r="D12" s="302" t="s">
        <v>5</v>
      </c>
      <c r="E12" s="127">
        <f>0.006*100</f>
        <v>0.6</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19" t="s">
        <v>6</v>
      </c>
      <c r="V12" s="374">
        <v>100</v>
      </c>
      <c r="W12" s="4" t="str">
        <f t="shared" si="0"/>
        <v>A</v>
      </c>
    </row>
    <row r="13" spans="1:23" ht="15" customHeight="1">
      <c r="A13" s="235" t="s">
        <v>9</v>
      </c>
      <c r="B13" s="267">
        <v>1</v>
      </c>
      <c r="C13" s="19" t="s">
        <v>10</v>
      </c>
      <c r="D13" s="306" t="s">
        <v>5</v>
      </c>
      <c r="E13" s="127">
        <f>0.0133*100</f>
        <v>1.3299999999999998</v>
      </c>
      <c r="F13" s="145" t="s">
        <v>5</v>
      </c>
      <c r="G13" s="146" t="s">
        <v>5</v>
      </c>
      <c r="H13" s="175" t="s">
        <v>5</v>
      </c>
      <c r="I13" s="400" t="s">
        <v>5</v>
      </c>
      <c r="J13" s="396" t="s">
        <v>5</v>
      </c>
      <c r="K13" s="175" t="s">
        <v>5</v>
      </c>
      <c r="L13" s="400" t="s">
        <v>5</v>
      </c>
      <c r="M13" s="396" t="s">
        <v>5</v>
      </c>
      <c r="N13" s="175" t="s">
        <v>5</v>
      </c>
      <c r="O13" s="400" t="s">
        <v>5</v>
      </c>
      <c r="P13" s="396" t="s">
        <v>5</v>
      </c>
      <c r="Q13" s="175" t="s">
        <v>5</v>
      </c>
      <c r="R13" s="400" t="s">
        <v>5</v>
      </c>
      <c r="S13" s="396" t="s">
        <v>5</v>
      </c>
      <c r="T13" s="192" t="s">
        <v>5</v>
      </c>
      <c r="U13" s="19" t="s">
        <v>5</v>
      </c>
      <c r="V13" s="371" t="s">
        <v>5</v>
      </c>
      <c r="W13" s="4" t="str">
        <f t="shared" si="0"/>
        <v/>
      </c>
    </row>
    <row r="14" spans="1:23" ht="15" customHeight="1">
      <c r="A14" s="235" t="s">
        <v>9</v>
      </c>
      <c r="B14" s="267">
        <v>2</v>
      </c>
      <c r="C14" s="19" t="s">
        <v>8</v>
      </c>
      <c r="D14" s="306" t="s">
        <v>5</v>
      </c>
      <c r="E14" s="127">
        <f>0.0565*100</f>
        <v>5.65</v>
      </c>
      <c r="F14" s="145" t="s">
        <v>5</v>
      </c>
      <c r="G14" s="146" t="s">
        <v>5</v>
      </c>
      <c r="H14" s="175" t="s">
        <v>5</v>
      </c>
      <c r="I14" s="400" t="s">
        <v>5</v>
      </c>
      <c r="J14" s="396" t="s">
        <v>5</v>
      </c>
      <c r="K14" s="175" t="s">
        <v>5</v>
      </c>
      <c r="L14" s="400" t="s">
        <v>5</v>
      </c>
      <c r="M14" s="396" t="s">
        <v>5</v>
      </c>
      <c r="N14" s="175" t="s">
        <v>5</v>
      </c>
      <c r="O14" s="400" t="s">
        <v>5</v>
      </c>
      <c r="P14" s="396" t="s">
        <v>5</v>
      </c>
      <c r="Q14" s="175" t="s">
        <v>5</v>
      </c>
      <c r="R14" s="400" t="s">
        <v>5</v>
      </c>
      <c r="S14" s="396" t="s">
        <v>5</v>
      </c>
      <c r="T14" s="192" t="s">
        <v>5</v>
      </c>
      <c r="U14" s="19" t="s">
        <v>6</v>
      </c>
      <c r="V14" s="371">
        <v>100</v>
      </c>
      <c r="W14" s="4" t="str">
        <f t="shared" si="0"/>
        <v>A</v>
      </c>
    </row>
    <row r="15" spans="1:23" ht="15" customHeight="1">
      <c r="A15" s="235" t="s">
        <v>48</v>
      </c>
      <c r="B15" s="267">
        <v>1</v>
      </c>
      <c r="C15" s="19" t="s">
        <v>8</v>
      </c>
      <c r="D15" s="303" t="s">
        <v>5</v>
      </c>
      <c r="E15" s="127">
        <f>(0.0665+0.0075+0.0244+0.038+0.001)*100</f>
        <v>13.740000000000002</v>
      </c>
      <c r="F15" s="145">
        <v>0</v>
      </c>
      <c r="G15" s="146">
        <v>31068</v>
      </c>
      <c r="H15" s="127">
        <f>(0.0075+0.0244+0.089+0.001)*100</f>
        <v>12.19</v>
      </c>
      <c r="I15" s="145">
        <f>G15</f>
        <v>31068</v>
      </c>
      <c r="J15" s="146">
        <f>G15*3</f>
        <v>93204</v>
      </c>
      <c r="K15" s="127">
        <f>(0.0075+0.024+0.001)*100</f>
        <v>3.25</v>
      </c>
      <c r="L15" s="145">
        <f>J15</f>
        <v>93204</v>
      </c>
      <c r="M15" s="146">
        <f>G15*4</f>
        <v>124272</v>
      </c>
      <c r="N15" s="127">
        <f>(0.0075+0.001)*100</f>
        <v>0.85000000000000009</v>
      </c>
      <c r="O15" s="145">
        <f>M15</f>
        <v>124272</v>
      </c>
      <c r="P15" s="396" t="s">
        <v>5</v>
      </c>
      <c r="Q15" s="175" t="s">
        <v>5</v>
      </c>
      <c r="R15" s="400" t="s">
        <v>5</v>
      </c>
      <c r="S15" s="396" t="s">
        <v>5</v>
      </c>
      <c r="T15" s="188" t="s">
        <v>5</v>
      </c>
      <c r="U15" s="19" t="s">
        <v>6</v>
      </c>
      <c r="V15" s="371">
        <f>E15*100/E15</f>
        <v>100</v>
      </c>
      <c r="W15" s="4" t="str">
        <f t="shared" si="0"/>
        <v>A</v>
      </c>
    </row>
    <row r="16" spans="1:23" ht="15" customHeight="1">
      <c r="A16" s="272" t="s">
        <v>54</v>
      </c>
      <c r="B16" s="405">
        <v>1</v>
      </c>
      <c r="C16" s="19" t="s">
        <v>8</v>
      </c>
      <c r="D16" s="303" t="s">
        <v>5</v>
      </c>
      <c r="E16" s="127">
        <f>(0.0975+0.076+0.0325+0.0085)*100</f>
        <v>21.45</v>
      </c>
      <c r="F16" s="145">
        <v>0</v>
      </c>
      <c r="G16" s="146">
        <v>42750</v>
      </c>
      <c r="H16" s="127">
        <f>(0.0975+0.0325)*100</f>
        <v>13</v>
      </c>
      <c r="I16" s="145">
        <f>G16</f>
        <v>42750</v>
      </c>
      <c r="J16" s="146">
        <v>63000</v>
      </c>
      <c r="K16" s="175" t="s">
        <v>5</v>
      </c>
      <c r="L16" s="400" t="s">
        <v>5</v>
      </c>
      <c r="M16" s="396" t="s">
        <v>5</v>
      </c>
      <c r="N16" s="175" t="s">
        <v>5</v>
      </c>
      <c r="O16" s="400" t="s">
        <v>5</v>
      </c>
      <c r="P16" s="396" t="s">
        <v>5</v>
      </c>
      <c r="Q16" s="175" t="s">
        <v>5</v>
      </c>
      <c r="R16" s="400" t="s">
        <v>5</v>
      </c>
      <c r="S16" s="396" t="s">
        <v>5</v>
      </c>
      <c r="T16" s="192">
        <f>(G16-F16)*E16/100 + (J16-I16)*H16/100</f>
        <v>11802.375</v>
      </c>
      <c r="U16" s="19" t="s">
        <v>6</v>
      </c>
      <c r="V16" s="375" t="s">
        <v>218</v>
      </c>
      <c r="W16" s="4" t="str">
        <f t="shared" si="0"/>
        <v>A</v>
      </c>
    </row>
    <row r="17" spans="1:23" ht="15" customHeight="1">
      <c r="A17" s="235" t="s">
        <v>53</v>
      </c>
      <c r="B17" s="267">
        <v>1</v>
      </c>
      <c r="C17" s="19" t="s">
        <v>7</v>
      </c>
      <c r="D17" s="306" t="s">
        <v>5</v>
      </c>
      <c r="E17" s="127">
        <v>16</v>
      </c>
      <c r="F17" s="114">
        <v>0</v>
      </c>
      <c r="G17" s="115">
        <f>63355.2/14</f>
        <v>4525.3714285714286</v>
      </c>
      <c r="H17" s="120" t="s">
        <v>5</v>
      </c>
      <c r="I17" s="219" t="s">
        <v>5</v>
      </c>
      <c r="J17" s="180" t="s">
        <v>5</v>
      </c>
      <c r="K17" s="120" t="s">
        <v>5</v>
      </c>
      <c r="L17" s="219" t="s">
        <v>5</v>
      </c>
      <c r="M17" s="180" t="s">
        <v>5</v>
      </c>
      <c r="N17" s="120" t="s">
        <v>5</v>
      </c>
      <c r="O17" s="219" t="s">
        <v>5</v>
      </c>
      <c r="P17" s="180" t="s">
        <v>5</v>
      </c>
      <c r="Q17" s="120" t="s">
        <v>5</v>
      </c>
      <c r="R17" s="219" t="s">
        <v>5</v>
      </c>
      <c r="S17" s="180" t="s">
        <v>5</v>
      </c>
      <c r="T17" s="192">
        <f>G17*E17/100</f>
        <v>724.05942857142861</v>
      </c>
      <c r="U17" s="19" t="s">
        <v>6</v>
      </c>
      <c r="V17" s="371">
        <v>100</v>
      </c>
      <c r="W17" s="4" t="str">
        <f t="shared" si="0"/>
        <v>A</v>
      </c>
    </row>
    <row r="18" spans="1:23" ht="15" customHeight="1">
      <c r="A18" s="235" t="s">
        <v>23</v>
      </c>
      <c r="B18" s="267">
        <v>1</v>
      </c>
      <c r="C18" s="19" t="s">
        <v>8</v>
      </c>
      <c r="D18" s="302" t="s">
        <v>5</v>
      </c>
      <c r="E18" s="127">
        <f>0.085*100</f>
        <v>8.5</v>
      </c>
      <c r="F18" s="145">
        <v>0</v>
      </c>
      <c r="G18" s="146">
        <v>6325450</v>
      </c>
      <c r="H18" s="175" t="s">
        <v>5</v>
      </c>
      <c r="I18" s="400" t="s">
        <v>5</v>
      </c>
      <c r="J18" s="396" t="s">
        <v>5</v>
      </c>
      <c r="K18" s="175" t="s">
        <v>5</v>
      </c>
      <c r="L18" s="400" t="s">
        <v>5</v>
      </c>
      <c r="M18" s="396" t="s">
        <v>5</v>
      </c>
      <c r="N18" s="175" t="s">
        <v>5</v>
      </c>
      <c r="O18" s="400" t="s">
        <v>5</v>
      </c>
      <c r="P18" s="396" t="s">
        <v>5</v>
      </c>
      <c r="Q18" s="175" t="s">
        <v>5</v>
      </c>
      <c r="R18" s="400" t="s">
        <v>5</v>
      </c>
      <c r="S18" s="396" t="s">
        <v>5</v>
      </c>
      <c r="T18" s="203">
        <f>+G18*E18/100</f>
        <v>537663.25</v>
      </c>
      <c r="U18" s="23" t="s">
        <v>5</v>
      </c>
      <c r="V18" s="374" t="s">
        <v>5</v>
      </c>
      <c r="W18" s="4" t="str">
        <f t="shared" si="0"/>
        <v/>
      </c>
    </row>
    <row r="19" spans="1:23" ht="15" customHeight="1">
      <c r="A19" s="235" t="s">
        <v>23</v>
      </c>
      <c r="B19" s="267">
        <v>2</v>
      </c>
      <c r="C19" s="19" t="s">
        <v>8</v>
      </c>
      <c r="D19" s="302" t="s">
        <v>5</v>
      </c>
      <c r="E19" s="127">
        <f>(0.0466667+0.0116667)*100</f>
        <v>5.8333399999999997</v>
      </c>
      <c r="F19" s="145" t="s">
        <v>5</v>
      </c>
      <c r="G19" s="146" t="s">
        <v>5</v>
      </c>
      <c r="H19" s="175" t="s">
        <v>5</v>
      </c>
      <c r="I19" s="400" t="s">
        <v>5</v>
      </c>
      <c r="J19" s="396" t="s">
        <v>5</v>
      </c>
      <c r="K19" s="175" t="s">
        <v>5</v>
      </c>
      <c r="L19" s="400" t="s">
        <v>5</v>
      </c>
      <c r="M19" s="396" t="s">
        <v>5</v>
      </c>
      <c r="N19" s="175" t="s">
        <v>5</v>
      </c>
      <c r="O19" s="400" t="s">
        <v>5</v>
      </c>
      <c r="P19" s="396" t="s">
        <v>5</v>
      </c>
      <c r="Q19" s="175" t="s">
        <v>5</v>
      </c>
      <c r="R19" s="400" t="s">
        <v>5</v>
      </c>
      <c r="S19" s="396" t="s">
        <v>5</v>
      </c>
      <c r="T19" s="203" t="s">
        <v>5</v>
      </c>
      <c r="U19" s="23" t="s">
        <v>5</v>
      </c>
      <c r="V19" s="374" t="s">
        <v>5</v>
      </c>
      <c r="W19" s="4" t="str">
        <f t="shared" si="0"/>
        <v/>
      </c>
    </row>
    <row r="20" spans="1:23" ht="15" customHeight="1">
      <c r="A20" s="235" t="s">
        <v>68</v>
      </c>
      <c r="B20" s="267">
        <v>1</v>
      </c>
      <c r="C20" s="28" t="s">
        <v>6</v>
      </c>
      <c r="D20" s="385">
        <v>6314</v>
      </c>
      <c r="E20" s="127" t="s">
        <v>24</v>
      </c>
      <c r="F20" s="145">
        <v>900732</v>
      </c>
      <c r="G20" s="115" t="s">
        <v>24</v>
      </c>
      <c r="H20" s="120" t="s">
        <v>5</v>
      </c>
      <c r="I20" s="219" t="s">
        <v>5</v>
      </c>
      <c r="J20" s="180" t="s">
        <v>5</v>
      </c>
      <c r="K20" s="120" t="s">
        <v>5</v>
      </c>
      <c r="L20" s="219" t="s">
        <v>5</v>
      </c>
      <c r="M20" s="180" t="s">
        <v>5</v>
      </c>
      <c r="N20" s="120" t="s">
        <v>5</v>
      </c>
      <c r="O20" s="219" t="s">
        <v>5</v>
      </c>
      <c r="P20" s="180" t="s">
        <v>5</v>
      </c>
      <c r="Q20" s="120" t="s">
        <v>5</v>
      </c>
      <c r="R20" s="219" t="s">
        <v>5</v>
      </c>
      <c r="S20" s="180" t="s">
        <v>5</v>
      </c>
      <c r="T20" s="192" t="s">
        <v>24</v>
      </c>
      <c r="U20" s="54" t="s">
        <v>5</v>
      </c>
      <c r="V20" s="374" t="s">
        <v>5</v>
      </c>
      <c r="W20" s="4" t="str">
        <f t="shared" si="0"/>
        <v/>
      </c>
    </row>
    <row r="21" spans="1:23" ht="15" customHeight="1">
      <c r="A21" s="235" t="s">
        <v>68</v>
      </c>
      <c r="B21" s="267">
        <v>2</v>
      </c>
      <c r="C21" s="28" t="s">
        <v>8</v>
      </c>
      <c r="D21" s="386" t="s">
        <v>5</v>
      </c>
      <c r="E21" s="127">
        <v>8</v>
      </c>
      <c r="F21" s="392" t="s">
        <v>5</v>
      </c>
      <c r="G21" s="317" t="s">
        <v>5</v>
      </c>
      <c r="H21" s="120" t="s">
        <v>5</v>
      </c>
      <c r="I21" s="219" t="s">
        <v>5</v>
      </c>
      <c r="J21" s="180" t="s">
        <v>5</v>
      </c>
      <c r="K21" s="120" t="s">
        <v>5</v>
      </c>
      <c r="L21" s="219" t="s">
        <v>5</v>
      </c>
      <c r="M21" s="180" t="s">
        <v>5</v>
      </c>
      <c r="N21" s="120" t="s">
        <v>5</v>
      </c>
      <c r="O21" s="219" t="s">
        <v>5</v>
      </c>
      <c r="P21" s="180" t="s">
        <v>5</v>
      </c>
      <c r="Q21" s="120" t="s">
        <v>5</v>
      </c>
      <c r="R21" s="219" t="s">
        <v>5</v>
      </c>
      <c r="S21" s="180" t="s">
        <v>5</v>
      </c>
      <c r="T21" s="203" t="s">
        <v>5</v>
      </c>
      <c r="U21" s="19" t="s">
        <v>6</v>
      </c>
      <c r="V21" s="371">
        <v>100</v>
      </c>
      <c r="W21" s="4" t="str">
        <f t="shared" si="0"/>
        <v>A</v>
      </c>
    </row>
    <row r="22" spans="1:23" ht="15" customHeight="1">
      <c r="A22" s="235" t="s">
        <v>92</v>
      </c>
      <c r="B22" s="267">
        <v>1</v>
      </c>
      <c r="C22" s="19" t="s">
        <v>8</v>
      </c>
      <c r="D22" s="303" t="s">
        <v>5</v>
      </c>
      <c r="E22" s="127">
        <f>0.02*100</f>
        <v>2</v>
      </c>
      <c r="F22" s="145">
        <v>22880</v>
      </c>
      <c r="G22" s="396" t="s">
        <v>5</v>
      </c>
      <c r="H22" s="175" t="s">
        <v>5</v>
      </c>
      <c r="I22" s="400" t="s">
        <v>5</v>
      </c>
      <c r="J22" s="396" t="s">
        <v>5</v>
      </c>
      <c r="K22" s="175" t="s">
        <v>5</v>
      </c>
      <c r="L22" s="400" t="s">
        <v>5</v>
      </c>
      <c r="M22" s="396" t="s">
        <v>5</v>
      </c>
      <c r="N22" s="175" t="s">
        <v>5</v>
      </c>
      <c r="O22" s="400" t="s">
        <v>5</v>
      </c>
      <c r="P22" s="396" t="s">
        <v>5</v>
      </c>
      <c r="Q22" s="175" t="s">
        <v>5</v>
      </c>
      <c r="R22" s="400" t="s">
        <v>5</v>
      </c>
      <c r="S22" s="396" t="s">
        <v>5</v>
      </c>
      <c r="T22" s="188" t="s">
        <v>5</v>
      </c>
      <c r="U22" s="67" t="s">
        <v>5</v>
      </c>
      <c r="V22" s="372" t="s">
        <v>5</v>
      </c>
      <c r="W22" s="4" t="str">
        <f t="shared" si="0"/>
        <v/>
      </c>
    </row>
    <row r="23" spans="1:23" ht="15" customHeight="1">
      <c r="A23" s="235" t="s">
        <v>92</v>
      </c>
      <c r="B23" s="267">
        <v>2</v>
      </c>
      <c r="C23" s="19" t="str">
        <f>C22</f>
        <v>AGE</v>
      </c>
      <c r="D23" s="302" t="s">
        <v>5</v>
      </c>
      <c r="E23" s="127">
        <f>0.04*100</f>
        <v>4</v>
      </c>
      <c r="F23" s="145" t="s">
        <v>79</v>
      </c>
      <c r="G23" s="115">
        <v>46600</v>
      </c>
      <c r="H23" s="120" t="s">
        <v>5</v>
      </c>
      <c r="I23" s="219" t="s">
        <v>5</v>
      </c>
      <c r="J23" s="180" t="s">
        <v>5</v>
      </c>
      <c r="K23" s="120" t="s">
        <v>5</v>
      </c>
      <c r="L23" s="219" t="s">
        <v>5</v>
      </c>
      <c r="M23" s="180" t="s">
        <v>5</v>
      </c>
      <c r="N23" s="120" t="s">
        <v>5</v>
      </c>
      <c r="O23" s="219" t="s">
        <v>5</v>
      </c>
      <c r="P23" s="180" t="s">
        <v>5</v>
      </c>
      <c r="Q23" s="120" t="s">
        <v>5</v>
      </c>
      <c r="R23" s="219" t="s">
        <v>5</v>
      </c>
      <c r="S23" s="180" t="s">
        <v>5</v>
      </c>
      <c r="T23" s="203">
        <f>E23*G23/100</f>
        <v>1864</v>
      </c>
      <c r="U23" s="23" t="s">
        <v>5</v>
      </c>
      <c r="V23" s="374" t="s">
        <v>5</v>
      </c>
      <c r="W23" s="4" t="str">
        <f t="shared" si="0"/>
        <v/>
      </c>
    </row>
    <row r="24" spans="1:23" ht="15" customHeight="1">
      <c r="A24" s="235" t="s">
        <v>69</v>
      </c>
      <c r="B24" s="267">
        <v>1</v>
      </c>
      <c r="C24" s="19" t="s">
        <v>7</v>
      </c>
      <c r="D24" s="303" t="s">
        <v>5</v>
      </c>
      <c r="E24" s="127">
        <f>0.035*100</f>
        <v>3.5000000000000004</v>
      </c>
      <c r="F24" s="145">
        <v>0</v>
      </c>
      <c r="G24" s="146">
        <f>53160/12</f>
        <v>4430</v>
      </c>
      <c r="H24" s="127">
        <f>0.12*100</f>
        <v>12</v>
      </c>
      <c r="I24" s="145">
        <f>G24</f>
        <v>4430</v>
      </c>
      <c r="J24" s="146">
        <f>429120/12</f>
        <v>35760</v>
      </c>
      <c r="K24" s="175" t="s">
        <v>5</v>
      </c>
      <c r="L24" s="400" t="s">
        <v>5</v>
      </c>
      <c r="M24" s="396" t="s">
        <v>5</v>
      </c>
      <c r="N24" s="175" t="s">
        <v>5</v>
      </c>
      <c r="O24" s="400" t="s">
        <v>5</v>
      </c>
      <c r="P24" s="396" t="s">
        <v>5</v>
      </c>
      <c r="Q24" s="175" t="s">
        <v>5</v>
      </c>
      <c r="R24" s="400" t="s">
        <v>5</v>
      </c>
      <c r="S24" s="396" t="s">
        <v>5</v>
      </c>
      <c r="T24" s="192">
        <f>+E24/100*G24+H24/100*(J24-I24)</f>
        <v>3914.65</v>
      </c>
      <c r="U24" s="67" t="s">
        <v>5</v>
      </c>
      <c r="V24" s="372" t="s">
        <v>5</v>
      </c>
      <c r="W24" s="4" t="str">
        <f t="shared" si="0"/>
        <v/>
      </c>
    </row>
    <row r="25" spans="1:23" ht="15" customHeight="1">
      <c r="A25" s="235" t="s">
        <v>13</v>
      </c>
      <c r="B25" s="267">
        <v>1</v>
      </c>
      <c r="C25" s="19" t="s">
        <v>8</v>
      </c>
      <c r="D25" s="303" t="s">
        <v>5</v>
      </c>
      <c r="E25" s="127">
        <f>0.0919*100</f>
        <v>9.19</v>
      </c>
      <c r="F25" s="145">
        <v>0</v>
      </c>
      <c r="G25" s="146">
        <v>39297</v>
      </c>
      <c r="H25" s="127">
        <f>0.1019*100</f>
        <v>10.190000000000001</v>
      </c>
      <c r="I25" s="145">
        <f>G25</f>
        <v>39297</v>
      </c>
      <c r="J25" s="146">
        <v>85478</v>
      </c>
      <c r="K25" s="175" t="s">
        <v>5</v>
      </c>
      <c r="L25" s="400" t="s">
        <v>5</v>
      </c>
      <c r="M25" s="396" t="s">
        <v>5</v>
      </c>
      <c r="N25" s="175" t="s">
        <v>5</v>
      </c>
      <c r="O25" s="400" t="s">
        <v>5</v>
      </c>
      <c r="P25" s="396" t="s">
        <v>5</v>
      </c>
      <c r="Q25" s="175" t="s">
        <v>5</v>
      </c>
      <c r="R25" s="400" t="s">
        <v>5</v>
      </c>
      <c r="S25" s="396" t="s">
        <v>5</v>
      </c>
      <c r="T25" s="192">
        <f>((E25/100)*G25)+(H25/100)*(J25-I25)</f>
        <v>8317.2381999999998</v>
      </c>
      <c r="U25" s="279" t="s">
        <v>6</v>
      </c>
      <c r="V25" s="374">
        <v>100</v>
      </c>
      <c r="W25" s="4" t="str">
        <f t="shared" si="0"/>
        <v>A</v>
      </c>
    </row>
    <row r="26" spans="1:23" s="2" customFormat="1" ht="15" customHeight="1">
      <c r="A26" s="235" t="s">
        <v>14</v>
      </c>
      <c r="B26" s="267">
        <v>1</v>
      </c>
      <c r="C26" s="19" t="s">
        <v>7</v>
      </c>
      <c r="D26" s="306" t="s">
        <v>5</v>
      </c>
      <c r="E26" s="127">
        <f>0.07321*100+H26</f>
        <v>12.221</v>
      </c>
      <c r="F26" s="145">
        <v>0</v>
      </c>
      <c r="G26" s="146">
        <f>7440000/12</f>
        <v>620000</v>
      </c>
      <c r="H26" s="127">
        <f>0.041*100+K26</f>
        <v>4.9000000000000004</v>
      </c>
      <c r="I26" s="145">
        <f>G26</f>
        <v>620000</v>
      </c>
      <c r="J26" s="146">
        <f>11760000/12</f>
        <v>980000</v>
      </c>
      <c r="K26" s="127">
        <f>0.008*100</f>
        <v>0.8</v>
      </c>
      <c r="L26" s="145">
        <f>J26</f>
        <v>980000</v>
      </c>
      <c r="M26" s="180" t="s">
        <v>5</v>
      </c>
      <c r="N26" s="175" t="s">
        <v>5</v>
      </c>
      <c r="O26" s="400" t="s">
        <v>5</v>
      </c>
      <c r="P26" s="396" t="s">
        <v>5</v>
      </c>
      <c r="Q26" s="175" t="s">
        <v>5</v>
      </c>
      <c r="R26" s="400" t="s">
        <v>5</v>
      </c>
      <c r="S26" s="396" t="s">
        <v>5</v>
      </c>
      <c r="T26" s="192" t="s">
        <v>5</v>
      </c>
      <c r="U26" s="19" t="s">
        <v>6</v>
      </c>
      <c r="V26" s="371">
        <v>100</v>
      </c>
      <c r="W26" s="4" t="str">
        <f t="shared" si="0"/>
        <v>A</v>
      </c>
    </row>
    <row r="27" spans="1:23" s="2" customFormat="1" ht="15" customHeight="1">
      <c r="A27" s="235" t="s">
        <v>15</v>
      </c>
      <c r="B27" s="267">
        <v>1</v>
      </c>
      <c r="C27" s="28" t="s">
        <v>7</v>
      </c>
      <c r="D27" s="303" t="s">
        <v>5</v>
      </c>
      <c r="E27" s="127">
        <f>(0.045*100)+H27</f>
        <v>7.1899999999999995</v>
      </c>
      <c r="F27" s="145">
        <v>0</v>
      </c>
      <c r="G27" s="146">
        <f>(1944000/0.045)/12</f>
        <v>3600000</v>
      </c>
      <c r="H27" s="127">
        <f>(0.0224*100)+K27</f>
        <v>2.6899999999999995</v>
      </c>
      <c r="I27" s="145">
        <f>G27</f>
        <v>3600000</v>
      </c>
      <c r="J27" s="146">
        <f>(13655040/0.0224)/12</f>
        <v>50800000</v>
      </c>
      <c r="K27" s="3">
        <f>0.0045*100</f>
        <v>0.44999999999999996</v>
      </c>
      <c r="L27" s="145">
        <f>J27</f>
        <v>50800000</v>
      </c>
      <c r="M27" s="396" t="s">
        <v>5</v>
      </c>
      <c r="N27" s="175" t="s">
        <v>5</v>
      </c>
      <c r="O27" s="400" t="s">
        <v>5</v>
      </c>
      <c r="P27" s="396" t="s">
        <v>5</v>
      </c>
      <c r="Q27" s="175" t="s">
        <v>5</v>
      </c>
      <c r="R27" s="400" t="s">
        <v>5</v>
      </c>
      <c r="S27" s="396" t="s">
        <v>5</v>
      </c>
      <c r="T27" s="188" t="s">
        <v>5</v>
      </c>
      <c r="U27" s="19" t="s">
        <v>6</v>
      </c>
      <c r="V27" s="371">
        <v>100</v>
      </c>
      <c r="W27" s="4" t="str">
        <f t="shared" si="0"/>
        <v>A</v>
      </c>
    </row>
    <row r="28" spans="1:23" s="40" customFormat="1">
      <c r="A28" s="513" t="s">
        <v>282</v>
      </c>
      <c r="B28" s="500">
        <v>1</v>
      </c>
      <c r="C28" s="30" t="s">
        <v>8</v>
      </c>
      <c r="D28" s="502" t="s">
        <v>5</v>
      </c>
      <c r="E28" s="503">
        <v>9</v>
      </c>
      <c r="F28" s="400">
        <v>0</v>
      </c>
      <c r="G28" s="396">
        <v>29453</v>
      </c>
      <c r="H28" s="501"/>
      <c r="I28" s="504"/>
      <c r="J28" s="505"/>
      <c r="K28" s="501"/>
      <c r="L28" s="504"/>
      <c r="M28" s="505"/>
      <c r="N28" s="506"/>
      <c r="O28" s="504"/>
      <c r="P28" s="505"/>
      <c r="Q28" s="506"/>
      <c r="R28" s="504"/>
      <c r="S28" s="505"/>
      <c r="T28" s="507">
        <f>(E28/100)*G28</f>
        <v>2650.77</v>
      </c>
      <c r="U28" s="62" t="s">
        <v>6</v>
      </c>
      <c r="V28" s="375">
        <v>100</v>
      </c>
      <c r="W28" s="30" t="str">
        <f t="shared" si="0"/>
        <v>A</v>
      </c>
    </row>
    <row r="29" spans="1:23" ht="15" customHeight="1">
      <c r="A29" s="235" t="s">
        <v>70</v>
      </c>
      <c r="B29" s="267">
        <v>1</v>
      </c>
      <c r="C29" s="19" t="s">
        <v>8</v>
      </c>
      <c r="D29" s="304" t="s">
        <v>5</v>
      </c>
      <c r="E29" s="127">
        <f>0.108*100</f>
        <v>10.8</v>
      </c>
      <c r="F29" s="145">
        <v>0</v>
      </c>
      <c r="G29" s="146">
        <v>90205.440000000002</v>
      </c>
      <c r="H29" s="175" t="s">
        <v>5</v>
      </c>
      <c r="I29" s="400" t="s">
        <v>5</v>
      </c>
      <c r="J29" s="396" t="s">
        <v>5</v>
      </c>
      <c r="K29" s="175" t="s">
        <v>5</v>
      </c>
      <c r="L29" s="400" t="s">
        <v>5</v>
      </c>
      <c r="M29" s="396" t="s">
        <v>5</v>
      </c>
      <c r="N29" s="175" t="s">
        <v>5</v>
      </c>
      <c r="O29" s="400" t="s">
        <v>5</v>
      </c>
      <c r="P29" s="396" t="s">
        <v>5</v>
      </c>
      <c r="Q29" s="175" t="s">
        <v>5</v>
      </c>
      <c r="R29" s="400" t="s">
        <v>5</v>
      </c>
      <c r="S29" s="396" t="s">
        <v>5</v>
      </c>
      <c r="T29" s="192">
        <f>G29*E29/100</f>
        <v>9742.1875200000013</v>
      </c>
      <c r="U29" s="28" t="s">
        <v>6</v>
      </c>
      <c r="V29" s="373">
        <v>100</v>
      </c>
      <c r="W29" s="4" t="str">
        <f t="shared" si="0"/>
        <v>A</v>
      </c>
    </row>
    <row r="30" spans="1:23" ht="15" customHeight="1">
      <c r="A30" s="235" t="s">
        <v>70</v>
      </c>
      <c r="B30" s="267">
        <v>2</v>
      </c>
      <c r="C30" s="19" t="s">
        <v>8</v>
      </c>
      <c r="D30" s="304" t="s">
        <v>5</v>
      </c>
      <c r="E30" s="127">
        <f>0.01*100</f>
        <v>1</v>
      </c>
      <c r="F30" s="145">
        <f>0.25*18041.088</f>
        <v>4510.2719999999999</v>
      </c>
      <c r="G30" s="180" t="s">
        <v>5</v>
      </c>
      <c r="H30" s="120" t="s">
        <v>5</v>
      </c>
      <c r="I30" s="219" t="s">
        <v>5</v>
      </c>
      <c r="J30" s="180" t="s">
        <v>5</v>
      </c>
      <c r="K30" s="120" t="s">
        <v>5</v>
      </c>
      <c r="L30" s="219" t="s">
        <v>5</v>
      </c>
      <c r="M30" s="180" t="s">
        <v>5</v>
      </c>
      <c r="N30" s="120" t="s">
        <v>5</v>
      </c>
      <c r="O30" s="219" t="s">
        <v>5</v>
      </c>
      <c r="P30" s="180" t="s">
        <v>5</v>
      </c>
      <c r="Q30" s="120" t="s">
        <v>5</v>
      </c>
      <c r="R30" s="219" t="s">
        <v>5</v>
      </c>
      <c r="S30" s="180" t="s">
        <v>5</v>
      </c>
      <c r="T30" s="193" t="s">
        <v>5</v>
      </c>
      <c r="U30" s="7" t="s">
        <v>5</v>
      </c>
      <c r="V30" s="376" t="s">
        <v>5</v>
      </c>
      <c r="W30" s="4" t="str">
        <f t="shared" si="0"/>
        <v/>
      </c>
    </row>
    <row r="31" spans="1:23" s="2" customFormat="1" ht="15" customHeight="1">
      <c r="A31" s="235" t="s">
        <v>71</v>
      </c>
      <c r="B31" s="267">
        <v>1</v>
      </c>
      <c r="C31" s="19" t="s">
        <v>7</v>
      </c>
      <c r="D31" s="306" t="s">
        <v>5</v>
      </c>
      <c r="E31" s="127">
        <f>0.625+0.625</f>
        <v>1.25</v>
      </c>
      <c r="F31" s="114">
        <v>0</v>
      </c>
      <c r="G31" s="115">
        <f>3*48.67*(365/12)</f>
        <v>4441.1374999999998</v>
      </c>
      <c r="H31" s="127">
        <f>E31+0.72</f>
        <v>1.97</v>
      </c>
      <c r="I31" s="114">
        <f>G31</f>
        <v>4441.1374999999998</v>
      </c>
      <c r="J31" s="115">
        <f>23*48.67*(365/12)</f>
        <v>34048.72083333334</v>
      </c>
      <c r="K31" s="127">
        <f>0.625+0.72</f>
        <v>1.345</v>
      </c>
      <c r="L31" s="114">
        <f>J31</f>
        <v>34048.72083333334</v>
      </c>
      <c r="M31" s="115">
        <f>25*48.67*(365/12)</f>
        <v>37009.479166666672</v>
      </c>
      <c r="N31" s="120" t="s">
        <v>5</v>
      </c>
      <c r="O31" s="219" t="s">
        <v>5</v>
      </c>
      <c r="P31" s="180" t="s">
        <v>5</v>
      </c>
      <c r="Q31" s="120" t="s">
        <v>5</v>
      </c>
      <c r="R31" s="219" t="s">
        <v>5</v>
      </c>
      <c r="S31" s="180" t="s">
        <v>5</v>
      </c>
      <c r="T31" s="196">
        <f>($E$31/100*$G$31)+($H$31/100*($J$31-$I$31))+($K$31/100*($M$31-$L$31))</f>
        <v>678.60581000000002</v>
      </c>
      <c r="U31" s="335" t="s">
        <v>5</v>
      </c>
      <c r="V31" s="343" t="s">
        <v>5</v>
      </c>
      <c r="W31" s="4" t="str">
        <f t="shared" si="0"/>
        <v/>
      </c>
    </row>
    <row r="32" spans="1:23" ht="15" customHeight="1">
      <c r="A32" s="339" t="s">
        <v>60</v>
      </c>
      <c r="B32" s="266">
        <v>1</v>
      </c>
      <c r="C32" s="28" t="s">
        <v>6</v>
      </c>
      <c r="D32" s="304" t="s">
        <v>5</v>
      </c>
      <c r="E32" s="127">
        <f>(0.179+0.0125+0.1255)*100</f>
        <v>31.7</v>
      </c>
      <c r="F32" s="319">
        <v>0</v>
      </c>
      <c r="G32" s="320">
        <v>30631</v>
      </c>
      <c r="H32" s="163" t="s">
        <v>5</v>
      </c>
      <c r="I32" s="395" t="s">
        <v>5</v>
      </c>
      <c r="J32" s="472" t="s">
        <v>5</v>
      </c>
      <c r="K32" s="163" t="s">
        <v>5</v>
      </c>
      <c r="L32" s="395" t="s">
        <v>5</v>
      </c>
      <c r="M32" s="472" t="s">
        <v>5</v>
      </c>
      <c r="N32" s="163" t="s">
        <v>5</v>
      </c>
      <c r="O32" s="395" t="s">
        <v>5</v>
      </c>
      <c r="P32" s="472" t="s">
        <v>5</v>
      </c>
      <c r="Q32" s="163" t="s">
        <v>5</v>
      </c>
      <c r="R32" s="395" t="s">
        <v>5</v>
      </c>
      <c r="S32" s="472" t="s">
        <v>5</v>
      </c>
      <c r="T32" s="196">
        <f>(G32-F32)*E32/100</f>
        <v>9710.027</v>
      </c>
      <c r="U32" s="28" t="s">
        <v>6</v>
      </c>
      <c r="V32" s="373">
        <v>100</v>
      </c>
      <c r="W32" s="4" t="str">
        <f t="shared" si="0"/>
        <v>A</v>
      </c>
    </row>
    <row r="33" spans="1:23" ht="15" customHeight="1">
      <c r="A33" s="244" t="s">
        <v>42</v>
      </c>
      <c r="B33" s="299">
        <v>0</v>
      </c>
      <c r="C33" s="111" t="s">
        <v>250</v>
      </c>
      <c r="D33" s="310" t="s">
        <v>5</v>
      </c>
      <c r="E33" s="366" t="s">
        <v>5</v>
      </c>
      <c r="F33" s="398" t="s">
        <v>5</v>
      </c>
      <c r="G33" s="399" t="s">
        <v>5</v>
      </c>
      <c r="H33" s="163" t="s">
        <v>5</v>
      </c>
      <c r="I33" s="395" t="s">
        <v>5</v>
      </c>
      <c r="J33" s="472" t="s">
        <v>5</v>
      </c>
      <c r="K33" s="163" t="s">
        <v>5</v>
      </c>
      <c r="L33" s="395" t="s">
        <v>5</v>
      </c>
      <c r="M33" s="472" t="s">
        <v>5</v>
      </c>
      <c r="N33" s="163" t="s">
        <v>5</v>
      </c>
      <c r="O33" s="395" t="s">
        <v>5</v>
      </c>
      <c r="P33" s="472" t="s">
        <v>5</v>
      </c>
      <c r="Q33" s="163" t="s">
        <v>5</v>
      </c>
      <c r="R33" s="395" t="s">
        <v>5</v>
      </c>
      <c r="S33" s="472" t="s">
        <v>5</v>
      </c>
      <c r="T33" s="197" t="s">
        <v>5</v>
      </c>
      <c r="U33" s="111" t="s">
        <v>5</v>
      </c>
      <c r="V33" s="377" t="s">
        <v>5</v>
      </c>
      <c r="W33" s="4" t="str">
        <f t="shared" si="0"/>
        <v/>
      </c>
    </row>
    <row r="34" spans="1:23" ht="15" customHeight="1">
      <c r="A34" s="235" t="s">
        <v>16</v>
      </c>
      <c r="B34" s="267">
        <v>1</v>
      </c>
      <c r="C34" s="19" t="s">
        <v>8</v>
      </c>
      <c r="D34" s="302" t="s">
        <v>5</v>
      </c>
      <c r="E34" s="127">
        <f>0.078*100</f>
        <v>7.8</v>
      </c>
      <c r="F34" s="145" t="s">
        <v>75</v>
      </c>
      <c r="G34" s="146" t="s">
        <v>5</v>
      </c>
      <c r="H34" s="175" t="s">
        <v>5</v>
      </c>
      <c r="I34" s="400" t="s">
        <v>5</v>
      </c>
      <c r="J34" s="396" t="s">
        <v>5</v>
      </c>
      <c r="K34" s="175" t="s">
        <v>5</v>
      </c>
      <c r="L34" s="400" t="s">
        <v>5</v>
      </c>
      <c r="M34" s="396" t="s">
        <v>5</v>
      </c>
      <c r="N34" s="175" t="s">
        <v>5</v>
      </c>
      <c r="O34" s="400" t="s">
        <v>5</v>
      </c>
      <c r="P34" s="396" t="s">
        <v>5</v>
      </c>
      <c r="Q34" s="175" t="s">
        <v>5</v>
      </c>
      <c r="R34" s="400" t="s">
        <v>5</v>
      </c>
      <c r="S34" s="396" t="s">
        <v>5</v>
      </c>
      <c r="T34" s="202" t="s">
        <v>5</v>
      </c>
      <c r="U34" s="54" t="s">
        <v>5</v>
      </c>
      <c r="V34" s="374" t="s">
        <v>5</v>
      </c>
      <c r="W34" s="4" t="str">
        <f t="shared" si="0"/>
        <v/>
      </c>
    </row>
    <row r="35" spans="1:23" ht="15" customHeight="1">
      <c r="A35" s="235" t="s">
        <v>72</v>
      </c>
      <c r="B35" s="267">
        <v>1</v>
      </c>
      <c r="C35" s="19" t="s">
        <v>8</v>
      </c>
      <c r="D35" s="303" t="s">
        <v>5</v>
      </c>
      <c r="E35" s="127">
        <f>(0.061098+0.065)*100</f>
        <v>12.609799999999998</v>
      </c>
      <c r="F35" s="114">
        <v>0</v>
      </c>
      <c r="G35" s="115">
        <v>73560</v>
      </c>
      <c r="H35" s="127">
        <f>0.0245*100</f>
        <v>2.4500000000000002</v>
      </c>
      <c r="I35" s="114">
        <v>73560</v>
      </c>
      <c r="J35" s="180" t="s">
        <v>5</v>
      </c>
      <c r="K35" s="120" t="s">
        <v>5</v>
      </c>
      <c r="L35" s="219" t="s">
        <v>5</v>
      </c>
      <c r="M35" s="180" t="s">
        <v>5</v>
      </c>
      <c r="N35" s="120" t="s">
        <v>5</v>
      </c>
      <c r="O35" s="219" t="s">
        <v>5</v>
      </c>
      <c r="P35" s="180" t="s">
        <v>5</v>
      </c>
      <c r="Q35" s="120" t="s">
        <v>5</v>
      </c>
      <c r="R35" s="219" t="s">
        <v>5</v>
      </c>
      <c r="S35" s="180" t="s">
        <v>5</v>
      </c>
      <c r="T35" s="199" t="s">
        <v>5</v>
      </c>
      <c r="U35" s="19" t="s">
        <v>6</v>
      </c>
      <c r="V35" s="371">
        <v>100</v>
      </c>
      <c r="W35" s="4" t="str">
        <f t="shared" si="0"/>
        <v>A</v>
      </c>
    </row>
    <row r="36" spans="1:23" ht="15" customHeight="1">
      <c r="A36" s="235" t="s">
        <v>72</v>
      </c>
      <c r="B36" s="267">
        <v>2</v>
      </c>
      <c r="C36" s="19" t="s">
        <v>8</v>
      </c>
      <c r="D36" s="303" t="s">
        <v>5</v>
      </c>
      <c r="E36" s="127">
        <f>0.0875*100</f>
        <v>8.75</v>
      </c>
      <c r="F36" s="316" t="s">
        <v>5</v>
      </c>
      <c r="G36" s="317" t="s">
        <v>5</v>
      </c>
      <c r="H36" s="120" t="s">
        <v>5</v>
      </c>
      <c r="I36" s="219" t="s">
        <v>5</v>
      </c>
      <c r="J36" s="180" t="s">
        <v>5</v>
      </c>
      <c r="K36" s="120" t="s">
        <v>5</v>
      </c>
      <c r="L36" s="219" t="s">
        <v>5</v>
      </c>
      <c r="M36" s="180" t="s">
        <v>5</v>
      </c>
      <c r="N36" s="120" t="s">
        <v>5</v>
      </c>
      <c r="O36" s="219" t="s">
        <v>5</v>
      </c>
      <c r="P36" s="180" t="s">
        <v>5</v>
      </c>
      <c r="Q36" s="120" t="s">
        <v>5</v>
      </c>
      <c r="R36" s="219" t="s">
        <v>5</v>
      </c>
      <c r="S36" s="180" t="s">
        <v>5</v>
      </c>
      <c r="T36" s="199" t="s">
        <v>5</v>
      </c>
      <c r="U36" s="19" t="s">
        <v>6</v>
      </c>
      <c r="V36" s="371">
        <v>100</v>
      </c>
      <c r="W36" s="4" t="str">
        <f t="shared" si="0"/>
        <v>A</v>
      </c>
    </row>
    <row r="37" spans="1:23" ht="15" customHeight="1">
      <c r="A37" s="235" t="s">
        <v>17</v>
      </c>
      <c r="B37" s="267">
        <v>1</v>
      </c>
      <c r="C37" s="19" t="s">
        <v>7</v>
      </c>
      <c r="D37" s="302" t="s">
        <v>5</v>
      </c>
      <c r="E37" s="127">
        <f>0.11*100</f>
        <v>11</v>
      </c>
      <c r="F37" s="145" t="s">
        <v>5</v>
      </c>
      <c r="G37" s="146" t="s">
        <v>5</v>
      </c>
      <c r="H37" s="175" t="s">
        <v>5</v>
      </c>
      <c r="I37" s="400" t="s">
        <v>5</v>
      </c>
      <c r="J37" s="396" t="s">
        <v>5</v>
      </c>
      <c r="K37" s="175" t="s">
        <v>5</v>
      </c>
      <c r="L37" s="400" t="s">
        <v>5</v>
      </c>
      <c r="M37" s="396" t="s">
        <v>5</v>
      </c>
      <c r="N37" s="175" t="s">
        <v>5</v>
      </c>
      <c r="O37" s="400" t="s">
        <v>5</v>
      </c>
      <c r="P37" s="396" t="s">
        <v>5</v>
      </c>
      <c r="Q37" s="175" t="s">
        <v>5</v>
      </c>
      <c r="R37" s="400" t="s">
        <v>5</v>
      </c>
      <c r="S37" s="396" t="s">
        <v>5</v>
      </c>
      <c r="T37" s="202" t="s">
        <v>5</v>
      </c>
      <c r="U37" s="19" t="s">
        <v>6</v>
      </c>
      <c r="V37" s="371">
        <v>100</v>
      </c>
      <c r="W37" s="4" t="str">
        <f t="shared" si="0"/>
        <v>A</v>
      </c>
    </row>
    <row r="38" spans="1:23" ht="15" customHeight="1">
      <c r="A38" s="235" t="s">
        <v>51</v>
      </c>
      <c r="B38" s="266">
        <v>1</v>
      </c>
      <c r="C38" s="19" t="s">
        <v>7</v>
      </c>
      <c r="D38" s="304" t="s">
        <v>5</v>
      </c>
      <c r="E38" s="127">
        <f>(0.014+0.04+0.08)*100</f>
        <v>13.4</v>
      </c>
      <c r="F38" s="145" t="str">
        <f>"["&amp;ROUND(234.85,1)&amp;"]"</f>
        <v>[234.9]</v>
      </c>
      <c r="G38" s="146">
        <f>9888.16968731328/12</f>
        <v>824.01414060944001</v>
      </c>
      <c r="H38" s="498">
        <f>(0.04+0.08)*100</f>
        <v>12</v>
      </c>
      <c r="I38" s="400">
        <f>G38</f>
        <v>824.01414060944001</v>
      </c>
      <c r="J38" s="396">
        <f>18910.5755825533/12</f>
        <v>1575.8812985461084</v>
      </c>
      <c r="K38" s="498">
        <f>0.08*100</f>
        <v>8</v>
      </c>
      <c r="L38" s="400">
        <f>J38</f>
        <v>1575.8812985461084</v>
      </c>
      <c r="M38" s="396">
        <f>19776.3393746266/12</f>
        <v>1648.0282812188834</v>
      </c>
      <c r="N38" s="175" t="s">
        <v>5</v>
      </c>
      <c r="O38" s="400" t="s">
        <v>5</v>
      </c>
      <c r="P38" s="396" t="s">
        <v>5</v>
      </c>
      <c r="Q38" s="175" t="s">
        <v>5</v>
      </c>
      <c r="R38" s="400" t="s">
        <v>5</v>
      </c>
      <c r="S38" s="396" t="s">
        <v>5</v>
      </c>
      <c r="T38" s="202" t="s">
        <v>5</v>
      </c>
      <c r="U38" s="28" t="s">
        <v>6</v>
      </c>
      <c r="V38" s="373">
        <v>100</v>
      </c>
      <c r="W38" s="4" t="str">
        <f t="shared" si="0"/>
        <v>A</v>
      </c>
    </row>
    <row r="39" spans="1:23" ht="15" customHeight="1">
      <c r="A39" s="235" t="s">
        <v>59</v>
      </c>
      <c r="B39" s="267">
        <v>1</v>
      </c>
      <c r="C39" s="19" t="s">
        <v>7</v>
      </c>
      <c r="D39" s="303" t="s">
        <v>5</v>
      </c>
      <c r="E39" s="127">
        <f>0.221*100</f>
        <v>22.1</v>
      </c>
      <c r="F39" s="400" t="s">
        <v>5</v>
      </c>
      <c r="G39" s="396" t="s">
        <v>5</v>
      </c>
      <c r="H39" s="175" t="s">
        <v>5</v>
      </c>
      <c r="I39" s="400" t="s">
        <v>5</v>
      </c>
      <c r="J39" s="396" t="s">
        <v>5</v>
      </c>
      <c r="K39" s="175" t="s">
        <v>5</v>
      </c>
      <c r="L39" s="400" t="s">
        <v>5</v>
      </c>
      <c r="M39" s="396" t="s">
        <v>5</v>
      </c>
      <c r="N39" s="175" t="s">
        <v>5</v>
      </c>
      <c r="O39" s="400" t="s">
        <v>5</v>
      </c>
      <c r="P39" s="396" t="s">
        <v>5</v>
      </c>
      <c r="Q39" s="175" t="s">
        <v>5</v>
      </c>
      <c r="R39" s="400" t="s">
        <v>5</v>
      </c>
      <c r="S39" s="396" t="s">
        <v>5</v>
      </c>
      <c r="T39" s="199" t="s">
        <v>5</v>
      </c>
      <c r="U39" s="28" t="s">
        <v>6</v>
      </c>
      <c r="V39" s="373">
        <v>100</v>
      </c>
      <c r="W39" s="4" t="str">
        <f t="shared" si="0"/>
        <v>A</v>
      </c>
    </row>
    <row r="40" spans="1:23" ht="15" customHeight="1">
      <c r="A40" s="235" t="s">
        <v>213</v>
      </c>
      <c r="B40" s="267">
        <v>1</v>
      </c>
      <c r="C40" s="19" t="s">
        <v>8</v>
      </c>
      <c r="D40" s="302" t="s">
        <v>5</v>
      </c>
      <c r="E40" s="127">
        <f>(0.047+0.0155+0.001)*100</f>
        <v>6.35</v>
      </c>
      <c r="F40" s="145">
        <v>0</v>
      </c>
      <c r="G40" s="146">
        <v>34772.400000000001</v>
      </c>
      <c r="H40" s="175" t="s">
        <v>5</v>
      </c>
      <c r="I40" s="400" t="s">
        <v>5</v>
      </c>
      <c r="J40" s="396" t="s">
        <v>5</v>
      </c>
      <c r="K40" s="175" t="s">
        <v>5</v>
      </c>
      <c r="L40" s="400" t="s">
        <v>5</v>
      </c>
      <c r="M40" s="396" t="s">
        <v>5</v>
      </c>
      <c r="N40" s="175" t="s">
        <v>5</v>
      </c>
      <c r="O40" s="400" t="s">
        <v>5</v>
      </c>
      <c r="P40" s="396" t="s">
        <v>5</v>
      </c>
      <c r="Q40" s="175" t="s">
        <v>5</v>
      </c>
      <c r="R40" s="400" t="s">
        <v>5</v>
      </c>
      <c r="S40" s="396" t="s">
        <v>5</v>
      </c>
      <c r="T40" s="196">
        <f>G40*(E40/100)</f>
        <v>2208.0473999999999</v>
      </c>
      <c r="U40" s="19" t="s">
        <v>6</v>
      </c>
      <c r="V40" s="371">
        <v>100</v>
      </c>
      <c r="W40" s="4" t="str">
        <f t="shared" si="0"/>
        <v>A</v>
      </c>
    </row>
    <row r="41" spans="1:23" ht="15" customHeight="1">
      <c r="A41" s="339" t="s">
        <v>73</v>
      </c>
      <c r="B41" s="266">
        <v>1</v>
      </c>
      <c r="C41" s="19" t="s">
        <v>8</v>
      </c>
      <c r="D41" s="303" t="s">
        <v>5</v>
      </c>
      <c r="E41" s="127">
        <f>0.07*100</f>
        <v>7.0000000000000009</v>
      </c>
      <c r="F41" s="145" t="str">
        <f>"["&amp;ROUND(0.423*39700,0)&amp;"]"</f>
        <v>[16793]</v>
      </c>
      <c r="G41" s="146">
        <f>8.07*44500</f>
        <v>359115</v>
      </c>
      <c r="H41" s="175" t="s">
        <v>5</v>
      </c>
      <c r="I41" s="400" t="s">
        <v>5</v>
      </c>
      <c r="J41" s="396" t="s">
        <v>5</v>
      </c>
      <c r="K41" s="175" t="s">
        <v>5</v>
      </c>
      <c r="L41" s="400" t="s">
        <v>5</v>
      </c>
      <c r="M41" s="396" t="s">
        <v>5</v>
      </c>
      <c r="N41" s="175" t="s">
        <v>5</v>
      </c>
      <c r="O41" s="400" t="s">
        <v>5</v>
      </c>
      <c r="P41" s="396" t="s">
        <v>5</v>
      </c>
      <c r="Q41" s="175" t="s">
        <v>5</v>
      </c>
      <c r="R41" s="400" t="s">
        <v>5</v>
      </c>
      <c r="S41" s="396" t="s">
        <v>5</v>
      </c>
      <c r="T41" s="196">
        <f>ROUND(E41*G41/100,-2)</f>
        <v>25100</v>
      </c>
      <c r="U41" s="19" t="s">
        <v>28</v>
      </c>
      <c r="V41" s="371">
        <v>100</v>
      </c>
      <c r="W41" s="4" t="str">
        <f t="shared" si="0"/>
        <v>C</v>
      </c>
    </row>
    <row r="42" spans="1:23" ht="15" customHeight="1">
      <c r="A42" s="235" t="s">
        <v>74</v>
      </c>
      <c r="B42" s="267">
        <v>1</v>
      </c>
      <c r="C42" s="19" t="s">
        <v>8</v>
      </c>
      <c r="D42" s="303" t="s">
        <v>5</v>
      </c>
      <c r="E42" s="127">
        <f>(0.01*100)+H42</f>
        <v>6.0500000000000007</v>
      </c>
      <c r="F42" s="145">
        <v>0</v>
      </c>
      <c r="G42" s="146">
        <v>106800</v>
      </c>
      <c r="H42" s="143">
        <f>0.0505*100</f>
        <v>5.0500000000000007</v>
      </c>
      <c r="I42" s="145">
        <f>G42</f>
        <v>106800</v>
      </c>
      <c r="J42" s="396" t="s">
        <v>5</v>
      </c>
      <c r="K42" s="175" t="s">
        <v>5</v>
      </c>
      <c r="L42" s="400" t="s">
        <v>5</v>
      </c>
      <c r="M42" s="396" t="s">
        <v>5</v>
      </c>
      <c r="N42" s="175" t="s">
        <v>5</v>
      </c>
      <c r="O42" s="400" t="s">
        <v>5</v>
      </c>
      <c r="P42" s="396" t="s">
        <v>5</v>
      </c>
      <c r="Q42" s="175" t="s">
        <v>5</v>
      </c>
      <c r="R42" s="400" t="s">
        <v>5</v>
      </c>
      <c r="S42" s="396" t="s">
        <v>5</v>
      </c>
      <c r="T42" s="199" t="s">
        <v>5</v>
      </c>
      <c r="U42" s="19" t="s">
        <v>6</v>
      </c>
      <c r="V42" s="371">
        <v>100</v>
      </c>
      <c r="W42" s="4" t="str">
        <f t="shared" si="0"/>
        <v>A</v>
      </c>
    </row>
    <row r="43" spans="1:23" s="2" customFormat="1" ht="15" customHeight="1">
      <c r="A43" s="339" t="s">
        <v>43</v>
      </c>
      <c r="B43" s="266">
        <v>1</v>
      </c>
      <c r="C43" s="19" t="s">
        <v>8</v>
      </c>
      <c r="D43" s="302" t="s">
        <v>5</v>
      </c>
      <c r="E43" s="127">
        <v>15</v>
      </c>
      <c r="F43" s="145" t="str">
        <f>"/"&amp;ROUND(6372,0)&amp;"/"</f>
        <v>/6372/</v>
      </c>
      <c r="G43" s="146">
        <v>41418</v>
      </c>
      <c r="H43" s="175" t="s">
        <v>5</v>
      </c>
      <c r="I43" s="400" t="s">
        <v>5</v>
      </c>
      <c r="J43" s="396" t="s">
        <v>5</v>
      </c>
      <c r="K43" s="175" t="s">
        <v>5</v>
      </c>
      <c r="L43" s="400" t="s">
        <v>5</v>
      </c>
      <c r="M43" s="396" t="s">
        <v>5</v>
      </c>
      <c r="N43" s="175" t="s">
        <v>5</v>
      </c>
      <c r="O43" s="400" t="s">
        <v>5</v>
      </c>
      <c r="P43" s="396" t="s">
        <v>5</v>
      </c>
      <c r="Q43" s="175" t="s">
        <v>5</v>
      </c>
      <c r="R43" s="400" t="s">
        <v>5</v>
      </c>
      <c r="S43" s="396" t="s">
        <v>5</v>
      </c>
      <c r="T43" s="196">
        <f>G43*E43/100</f>
        <v>6212.7</v>
      </c>
      <c r="U43" s="19" t="s">
        <v>6</v>
      </c>
      <c r="V43" s="371">
        <v>100</v>
      </c>
      <c r="W43" s="4" t="str">
        <f t="shared" si="0"/>
        <v>A</v>
      </c>
    </row>
    <row r="44" spans="1:23" ht="15" customHeight="1">
      <c r="A44" s="235" t="s">
        <v>47</v>
      </c>
      <c r="B44" s="267">
        <v>1</v>
      </c>
      <c r="C44" s="19" t="s">
        <v>19</v>
      </c>
      <c r="D44" s="303" t="s">
        <v>5</v>
      </c>
      <c r="E44" s="127">
        <f>0.11*100</f>
        <v>11</v>
      </c>
      <c r="F44" s="114">
        <f>5044/52</f>
        <v>97</v>
      </c>
      <c r="G44" s="115">
        <f>33540/52</f>
        <v>645</v>
      </c>
      <c r="H44" s="127">
        <f>0.01*100</f>
        <v>1</v>
      </c>
      <c r="I44" s="145">
        <f>G44</f>
        <v>645</v>
      </c>
      <c r="J44" s="393" t="s">
        <v>5</v>
      </c>
      <c r="K44" s="120" t="s">
        <v>5</v>
      </c>
      <c r="L44" s="219" t="s">
        <v>5</v>
      </c>
      <c r="M44" s="180" t="s">
        <v>5</v>
      </c>
      <c r="N44" s="120" t="s">
        <v>5</v>
      </c>
      <c r="O44" s="219" t="s">
        <v>5</v>
      </c>
      <c r="P44" s="180" t="s">
        <v>5</v>
      </c>
      <c r="Q44" s="120" t="s">
        <v>5</v>
      </c>
      <c r="R44" s="219" t="s">
        <v>5</v>
      </c>
      <c r="S44" s="180" t="s">
        <v>5</v>
      </c>
      <c r="T44" s="199" t="s">
        <v>5</v>
      </c>
      <c r="U44" s="239" t="s">
        <v>5</v>
      </c>
      <c r="V44" s="372" t="s">
        <v>5</v>
      </c>
      <c r="W44" s="4" t="str">
        <f t="shared" si="0"/>
        <v/>
      </c>
    </row>
    <row r="45" spans="1:23" ht="15" customHeight="1">
      <c r="A45" s="246" t="s">
        <v>20</v>
      </c>
      <c r="B45" s="269">
        <v>1</v>
      </c>
      <c r="C45" s="292" t="s">
        <v>8</v>
      </c>
      <c r="D45" s="311" t="s">
        <v>5</v>
      </c>
      <c r="E45" s="293">
        <f>(0.062*100)+H45</f>
        <v>7.65</v>
      </c>
      <c r="F45" s="147">
        <v>0</v>
      </c>
      <c r="G45" s="148">
        <v>94200</v>
      </c>
      <c r="H45" s="293">
        <f>0.0145*100</f>
        <v>1.4500000000000002</v>
      </c>
      <c r="I45" s="147">
        <f>G45</f>
        <v>94200</v>
      </c>
      <c r="J45" s="158" t="s">
        <v>5</v>
      </c>
      <c r="K45" s="480" t="s">
        <v>5</v>
      </c>
      <c r="L45" s="481" t="s">
        <v>5</v>
      </c>
      <c r="M45" s="158" t="s">
        <v>5</v>
      </c>
      <c r="N45" s="480" t="s">
        <v>5</v>
      </c>
      <c r="O45" s="481" t="s">
        <v>5</v>
      </c>
      <c r="P45" s="158" t="s">
        <v>5</v>
      </c>
      <c r="Q45" s="480" t="s">
        <v>5</v>
      </c>
      <c r="R45" s="481" t="s">
        <v>5</v>
      </c>
      <c r="S45" s="158" t="s">
        <v>5</v>
      </c>
      <c r="T45" s="403" t="s">
        <v>5</v>
      </c>
      <c r="U45" s="249" t="s">
        <v>5</v>
      </c>
      <c r="V45" s="380" t="s">
        <v>5</v>
      </c>
      <c r="W45" s="4" t="str">
        <f t="shared" si="0"/>
        <v/>
      </c>
    </row>
    <row r="46" spans="1:23" ht="15" customHeight="1">
      <c r="A46" s="176"/>
      <c r="B46" s="169"/>
      <c r="C46" s="19"/>
      <c r="D46" s="132"/>
      <c r="E46" s="127"/>
      <c r="F46" s="152"/>
      <c r="G46" s="151"/>
      <c r="H46" s="151"/>
      <c r="I46" s="151"/>
      <c r="J46" s="151"/>
      <c r="K46" s="151"/>
      <c r="L46" s="151"/>
      <c r="M46" s="151"/>
      <c r="N46" s="151"/>
      <c r="O46" s="151"/>
      <c r="P46" s="151"/>
      <c r="Q46" s="151"/>
      <c r="R46" s="151"/>
      <c r="S46" s="151"/>
      <c r="T46" s="157"/>
      <c r="U46" s="54"/>
      <c r="V46" s="55"/>
    </row>
    <row r="47" spans="1:23" s="75" customFormat="1" ht="12.75" customHeight="1">
      <c r="A47" s="553" t="s">
        <v>94</v>
      </c>
      <c r="B47" s="553"/>
      <c r="C47" s="553"/>
      <c r="D47" s="554"/>
      <c r="E47" s="553"/>
      <c r="F47" s="553"/>
      <c r="G47" s="553"/>
      <c r="H47" s="553"/>
      <c r="I47" s="553"/>
      <c r="J47" s="553"/>
      <c r="K47" s="553"/>
      <c r="L47" s="553"/>
      <c r="M47" s="553"/>
      <c r="N47" s="553"/>
      <c r="O47" s="553"/>
      <c r="P47" s="553"/>
      <c r="Q47" s="553"/>
      <c r="R47" s="553"/>
      <c r="S47" s="553"/>
      <c r="T47" s="555"/>
      <c r="U47" s="556"/>
      <c r="V47" s="556"/>
    </row>
    <row r="48" spans="1:23" s="76" customFormat="1" ht="12.75" customHeight="1">
      <c r="A48" s="539" t="s">
        <v>95</v>
      </c>
      <c r="B48" s="539"/>
      <c r="C48" s="539"/>
      <c r="D48" s="550"/>
      <c r="E48" s="550"/>
      <c r="F48" s="550"/>
      <c r="G48" s="550"/>
      <c r="H48" s="550"/>
      <c r="I48" s="550"/>
      <c r="J48" s="550"/>
      <c r="K48" s="550"/>
      <c r="L48" s="550"/>
      <c r="M48" s="550"/>
      <c r="N48" s="550"/>
      <c r="O48" s="550"/>
      <c r="P48" s="550"/>
      <c r="Q48" s="550"/>
      <c r="R48" s="550"/>
      <c r="S48" s="550"/>
      <c r="T48" s="550"/>
      <c r="U48" s="551"/>
      <c r="V48" s="551"/>
    </row>
    <row r="49" spans="1:33" s="76" customFormat="1" ht="12.75" customHeight="1">
      <c r="A49" s="539" t="s">
        <v>107</v>
      </c>
      <c r="B49" s="539"/>
      <c r="C49" s="539"/>
      <c r="D49" s="550"/>
      <c r="E49" s="550"/>
      <c r="F49" s="550"/>
      <c r="G49" s="550"/>
      <c r="H49" s="550"/>
      <c r="I49" s="550"/>
      <c r="J49" s="550"/>
      <c r="K49" s="550"/>
      <c r="L49" s="550"/>
      <c r="M49" s="550"/>
      <c r="N49" s="550"/>
      <c r="O49" s="550"/>
      <c r="P49" s="550"/>
      <c r="Q49" s="550"/>
      <c r="R49" s="550"/>
      <c r="S49" s="550"/>
      <c r="T49" s="550"/>
      <c r="U49" s="551"/>
      <c r="V49" s="551"/>
    </row>
    <row r="50" spans="1:33" s="76" customFormat="1" ht="12.75" customHeight="1">
      <c r="A50" s="539" t="s">
        <v>108</v>
      </c>
      <c r="B50" s="539"/>
      <c r="C50" s="539"/>
      <c r="D50" s="550"/>
      <c r="E50" s="550"/>
      <c r="F50" s="550"/>
      <c r="G50" s="550"/>
      <c r="H50" s="550"/>
      <c r="I50" s="550"/>
      <c r="J50" s="550"/>
      <c r="K50" s="550"/>
      <c r="L50" s="550"/>
      <c r="M50" s="550"/>
      <c r="N50" s="550"/>
      <c r="O50" s="550"/>
      <c r="P50" s="550"/>
      <c r="Q50" s="550"/>
      <c r="R50" s="550"/>
      <c r="S50" s="550"/>
      <c r="T50" s="550"/>
      <c r="U50" s="551"/>
      <c r="V50" s="551"/>
    </row>
    <row r="51" spans="1:33" s="76" customFormat="1" ht="12.75" customHeight="1">
      <c r="A51" s="516" t="s">
        <v>1</v>
      </c>
      <c r="B51" s="84" t="s">
        <v>122</v>
      </c>
      <c r="C51" s="509" t="s">
        <v>123</v>
      </c>
      <c r="D51" s="103"/>
      <c r="E51" s="103"/>
      <c r="F51" s="104"/>
      <c r="U51" s="99"/>
      <c r="V51" s="99"/>
    </row>
    <row r="52" spans="1:33" s="76" customFormat="1" ht="12.75" customHeight="1">
      <c r="A52" s="517"/>
      <c r="B52" s="85" t="s">
        <v>124</v>
      </c>
      <c r="C52" s="510" t="s">
        <v>126</v>
      </c>
      <c r="D52" s="105"/>
      <c r="E52" s="105"/>
      <c r="F52" s="106"/>
      <c r="U52" s="83"/>
      <c r="V52" s="83"/>
    </row>
    <row r="53" spans="1:33" s="76" customFormat="1" ht="12.75" customHeight="1">
      <c r="A53" s="517"/>
      <c r="B53" s="86" t="s">
        <v>125</v>
      </c>
      <c r="C53" s="511" t="s">
        <v>136</v>
      </c>
      <c r="D53" s="107"/>
      <c r="E53" s="107"/>
      <c r="F53" s="108"/>
      <c r="U53" s="83"/>
      <c r="V53" s="83"/>
    </row>
    <row r="54" spans="1:33" s="76" customFormat="1" ht="12.75" customHeight="1">
      <c r="A54" s="517"/>
      <c r="C54" s="78"/>
      <c r="D54" s="93"/>
      <c r="E54" s="93"/>
      <c r="F54" s="93"/>
      <c r="U54" s="83"/>
      <c r="V54" s="83"/>
    </row>
    <row r="55" spans="1:33" s="76" customFormat="1" ht="12.75" customHeight="1">
      <c r="A55" s="518" t="s">
        <v>127</v>
      </c>
      <c r="B55" s="84" t="s">
        <v>128</v>
      </c>
      <c r="C55" s="509" t="s">
        <v>129</v>
      </c>
      <c r="D55" s="103"/>
      <c r="E55" s="103"/>
      <c r="F55" s="104"/>
      <c r="U55" s="99"/>
      <c r="V55" s="99"/>
    </row>
    <row r="56" spans="1:33" s="76" customFormat="1" ht="12.75" customHeight="1">
      <c r="A56" s="517"/>
      <c r="B56" s="85" t="s">
        <v>130</v>
      </c>
      <c r="C56" s="510" t="s">
        <v>133</v>
      </c>
      <c r="D56" s="105"/>
      <c r="E56" s="105"/>
      <c r="F56" s="106"/>
      <c r="U56" s="83"/>
      <c r="V56" s="83"/>
    </row>
    <row r="57" spans="1:33" s="76" customFormat="1" ht="12.75" customHeight="1">
      <c r="A57" s="517"/>
      <c r="B57" s="85" t="s">
        <v>131</v>
      </c>
      <c r="C57" s="510" t="s">
        <v>132</v>
      </c>
      <c r="D57" s="105"/>
      <c r="E57" s="105"/>
      <c r="F57" s="106"/>
      <c r="U57" s="83"/>
      <c r="V57" s="83"/>
    </row>
    <row r="58" spans="1:33" s="76" customFormat="1" ht="12.75" customHeight="1">
      <c r="A58" s="517"/>
      <c r="B58" s="85" t="s">
        <v>134</v>
      </c>
      <c r="C58" s="510" t="s">
        <v>135</v>
      </c>
      <c r="D58" s="105"/>
      <c r="E58" s="105"/>
      <c r="F58" s="106"/>
      <c r="U58" s="83"/>
      <c r="V58" s="83"/>
    </row>
    <row r="59" spans="1:33" s="76" customFormat="1" ht="12.75" customHeight="1">
      <c r="A59" s="519"/>
      <c r="B59" s="86" t="s">
        <v>28</v>
      </c>
      <c r="C59" s="511" t="s">
        <v>214</v>
      </c>
      <c r="D59" s="109"/>
      <c r="E59" s="109"/>
      <c r="F59" s="110"/>
      <c r="U59" s="83"/>
      <c r="V59" s="83"/>
    </row>
    <row r="60" spans="1:33" s="76" customFormat="1" ht="12.75" customHeight="1">
      <c r="A60" s="520"/>
      <c r="B60" s="78"/>
      <c r="C60" s="78"/>
      <c r="D60" s="83"/>
      <c r="F60" s="83"/>
      <c r="G60" s="83"/>
      <c r="H60" s="83"/>
      <c r="I60" s="83"/>
      <c r="J60" s="83"/>
      <c r="K60" s="83"/>
      <c r="L60" s="83"/>
      <c r="M60" s="83"/>
      <c r="N60" s="83"/>
      <c r="O60" s="83"/>
      <c r="P60" s="83"/>
      <c r="Q60" s="83"/>
      <c r="R60" s="83"/>
      <c r="S60" s="83"/>
      <c r="T60" s="83"/>
      <c r="U60" s="83"/>
      <c r="V60" s="83"/>
    </row>
    <row r="61" spans="1:33" s="76" customFormat="1">
      <c r="A61" s="540" t="s">
        <v>96</v>
      </c>
      <c r="B61" s="540"/>
      <c r="C61" s="540"/>
      <c r="D61" s="540"/>
      <c r="E61" s="540"/>
      <c r="F61" s="540"/>
      <c r="G61" s="540"/>
      <c r="H61" s="540"/>
      <c r="I61" s="540"/>
      <c r="J61" s="540"/>
      <c r="K61" s="540"/>
      <c r="L61" s="540"/>
      <c r="M61" s="540"/>
      <c r="N61" s="540"/>
      <c r="O61" s="540"/>
      <c r="P61" s="540"/>
      <c r="Q61" s="540"/>
      <c r="R61" s="540"/>
      <c r="S61" s="540"/>
      <c r="T61" s="540"/>
      <c r="U61" s="540"/>
      <c r="V61" s="540"/>
    </row>
    <row r="62" spans="1:33" s="76" customFormat="1">
      <c r="A62" s="539" t="s">
        <v>97</v>
      </c>
      <c r="B62" s="539"/>
      <c r="C62" s="539"/>
      <c r="D62" s="539"/>
      <c r="E62" s="539"/>
      <c r="F62" s="539"/>
      <c r="G62" s="539"/>
      <c r="H62" s="539"/>
      <c r="I62" s="539"/>
      <c r="J62" s="539"/>
      <c r="K62" s="539"/>
      <c r="L62" s="539"/>
      <c r="M62" s="539"/>
      <c r="N62" s="539"/>
      <c r="O62" s="539"/>
      <c r="P62" s="539"/>
      <c r="Q62" s="539"/>
      <c r="R62" s="539"/>
      <c r="S62" s="539"/>
      <c r="T62" s="539"/>
      <c r="U62" s="539"/>
      <c r="V62" s="539"/>
    </row>
    <row r="63" spans="1:33" s="76" customFormat="1" ht="22.5" customHeight="1">
      <c r="A63" s="521" t="s">
        <v>98</v>
      </c>
      <c r="B63" s="177"/>
      <c r="C63" s="512"/>
      <c r="D63" s="177"/>
      <c r="E63" s="177"/>
      <c r="F63" s="177"/>
      <c r="G63" s="177"/>
      <c r="H63" s="177"/>
      <c r="I63" s="177"/>
      <c r="J63" s="177"/>
      <c r="K63" s="177"/>
      <c r="L63" s="177"/>
      <c r="M63" s="177"/>
      <c r="N63" s="177"/>
      <c r="O63" s="177"/>
      <c r="P63" s="177"/>
      <c r="Q63" s="177"/>
      <c r="R63" s="177"/>
      <c r="S63" s="177"/>
      <c r="T63" s="177"/>
      <c r="U63" s="177"/>
      <c r="V63" s="177"/>
    </row>
    <row r="64" spans="1:33" s="76" customFormat="1" ht="50.25" customHeight="1">
      <c r="A64" s="539" t="s">
        <v>238</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22.5" customHeight="1">
      <c r="A65" s="539" t="s">
        <v>226</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35.25" customHeight="1">
      <c r="A66" s="539" t="s">
        <v>227</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65.25" customHeight="1">
      <c r="A67" s="539" t="s">
        <v>228</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132" customHeight="1">
      <c r="A68" s="539" t="s">
        <v>229</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50.25" customHeight="1">
      <c r="A69" s="539" t="s">
        <v>230</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ht="25.5" customHeight="1">
      <c r="A71" s="543" t="s">
        <v>264</v>
      </c>
      <c r="B71" s="543"/>
      <c r="C71" s="543"/>
      <c r="D71" s="543"/>
      <c r="E71" s="543"/>
      <c r="F71" s="543"/>
      <c r="G71" s="543"/>
      <c r="H71" s="543"/>
      <c r="I71" s="543"/>
      <c r="J71" s="543"/>
      <c r="K71" s="543"/>
      <c r="L71" s="543"/>
      <c r="M71" s="543"/>
      <c r="N71" s="543"/>
      <c r="O71" s="543"/>
      <c r="P71" s="543"/>
      <c r="Q71" s="543"/>
      <c r="R71" s="543"/>
      <c r="S71" s="543"/>
      <c r="T71" s="543"/>
      <c r="U71" s="543"/>
      <c r="V71" s="543"/>
    </row>
    <row r="72" spans="1:33" ht="25.5" customHeight="1">
      <c r="A72" s="543" t="s">
        <v>137</v>
      </c>
      <c r="B72" s="543"/>
      <c r="C72" s="543"/>
      <c r="D72" s="543"/>
      <c r="E72" s="543"/>
      <c r="F72" s="543"/>
      <c r="G72" s="543"/>
      <c r="H72" s="543"/>
      <c r="I72" s="543"/>
      <c r="J72" s="543"/>
      <c r="K72" s="543"/>
      <c r="L72" s="543"/>
      <c r="M72" s="543"/>
      <c r="N72" s="543"/>
      <c r="O72" s="543"/>
      <c r="P72" s="543"/>
      <c r="Q72" s="543"/>
      <c r="R72" s="543"/>
      <c r="S72" s="543"/>
      <c r="T72" s="543"/>
      <c r="U72" s="543"/>
      <c r="V72" s="543"/>
    </row>
    <row r="73" spans="1:33" ht="25.5" customHeight="1">
      <c r="A73" s="543" t="s">
        <v>138</v>
      </c>
      <c r="B73" s="543"/>
      <c r="C73" s="543"/>
      <c r="D73" s="543"/>
      <c r="E73" s="543"/>
      <c r="F73" s="543"/>
      <c r="G73" s="543"/>
      <c r="H73" s="543"/>
      <c r="I73" s="543"/>
      <c r="J73" s="543"/>
      <c r="K73" s="543"/>
      <c r="L73" s="543"/>
      <c r="M73" s="543"/>
      <c r="N73" s="543"/>
      <c r="O73" s="543"/>
      <c r="P73" s="543"/>
      <c r="Q73" s="543"/>
      <c r="R73" s="543"/>
      <c r="S73" s="543"/>
      <c r="T73" s="543"/>
      <c r="U73" s="543"/>
      <c r="V73" s="543"/>
    </row>
    <row r="74" spans="1:33" ht="25.5" customHeight="1">
      <c r="A74" s="543" t="s">
        <v>176</v>
      </c>
      <c r="B74" s="543"/>
      <c r="C74" s="543"/>
      <c r="D74" s="543"/>
      <c r="E74" s="543"/>
      <c r="F74" s="543"/>
      <c r="G74" s="543"/>
      <c r="H74" s="543"/>
      <c r="I74" s="543"/>
      <c r="J74" s="543"/>
      <c r="K74" s="543"/>
      <c r="L74" s="543"/>
      <c r="M74" s="543"/>
      <c r="N74" s="543"/>
      <c r="O74" s="543"/>
      <c r="P74" s="543"/>
      <c r="Q74" s="543"/>
      <c r="R74" s="543"/>
      <c r="S74" s="543"/>
      <c r="T74" s="543"/>
      <c r="U74" s="543"/>
      <c r="V74" s="543"/>
    </row>
    <row r="75" spans="1:33" s="76" customFormat="1" ht="20.25" customHeight="1">
      <c r="A75" s="540" t="s">
        <v>217</v>
      </c>
      <c r="B75" s="540"/>
      <c r="C75" s="540"/>
      <c r="D75" s="540"/>
      <c r="E75" s="540"/>
      <c r="F75" s="540"/>
      <c r="G75" s="540"/>
      <c r="H75" s="540"/>
      <c r="I75" s="540"/>
      <c r="J75" s="540"/>
      <c r="K75" s="540"/>
      <c r="L75" s="540"/>
      <c r="M75" s="540"/>
      <c r="N75" s="540"/>
      <c r="O75" s="540"/>
      <c r="P75" s="540"/>
      <c r="Q75" s="540"/>
      <c r="R75" s="540"/>
      <c r="S75" s="540"/>
      <c r="T75" s="540"/>
      <c r="U75" s="540"/>
      <c r="V75" s="540"/>
    </row>
    <row r="76" spans="1:33" ht="36" customHeight="1">
      <c r="A76" s="543" t="s">
        <v>242</v>
      </c>
      <c r="B76" s="543"/>
      <c r="C76" s="543"/>
      <c r="D76" s="543"/>
      <c r="E76" s="543"/>
      <c r="F76" s="543"/>
      <c r="G76" s="543"/>
      <c r="H76" s="543"/>
      <c r="I76" s="543"/>
      <c r="J76" s="543"/>
      <c r="K76" s="543"/>
      <c r="L76" s="543"/>
      <c r="M76" s="543"/>
      <c r="N76" s="543"/>
      <c r="O76" s="543"/>
      <c r="P76" s="543"/>
      <c r="Q76" s="543"/>
      <c r="R76" s="543"/>
      <c r="S76" s="543"/>
      <c r="T76" s="543"/>
      <c r="U76" s="543"/>
      <c r="V76" s="543"/>
    </row>
    <row r="77" spans="1:33" ht="56.25" customHeight="1">
      <c r="A77" s="543" t="s">
        <v>141</v>
      </c>
      <c r="B77" s="543"/>
      <c r="C77" s="543"/>
      <c r="D77" s="543"/>
      <c r="E77" s="543"/>
      <c r="F77" s="543"/>
      <c r="G77" s="543"/>
      <c r="H77" s="543"/>
      <c r="I77" s="543"/>
      <c r="J77" s="543"/>
      <c r="K77" s="543"/>
      <c r="L77" s="543"/>
      <c r="M77" s="543"/>
      <c r="N77" s="543"/>
      <c r="O77" s="543"/>
      <c r="P77" s="543"/>
      <c r="Q77" s="543"/>
      <c r="R77" s="543"/>
      <c r="S77" s="543"/>
      <c r="T77" s="543"/>
      <c r="U77" s="543"/>
      <c r="V77" s="543"/>
    </row>
    <row r="78" spans="1:33" ht="56.25" customHeight="1">
      <c r="A78" s="543" t="s">
        <v>177</v>
      </c>
      <c r="B78" s="543"/>
      <c r="C78" s="543"/>
      <c r="D78" s="543"/>
      <c r="E78" s="543"/>
      <c r="F78" s="543"/>
      <c r="G78" s="543"/>
      <c r="H78" s="543"/>
      <c r="I78" s="543"/>
      <c r="J78" s="543"/>
      <c r="K78" s="543"/>
      <c r="L78" s="543"/>
      <c r="M78" s="543"/>
      <c r="N78" s="543"/>
      <c r="O78" s="543"/>
      <c r="P78" s="543"/>
      <c r="Q78" s="543"/>
      <c r="R78" s="543"/>
      <c r="S78" s="543"/>
      <c r="T78" s="543"/>
      <c r="U78" s="543"/>
      <c r="V78" s="543"/>
    </row>
    <row r="79" spans="1:33" ht="25.5" customHeight="1">
      <c r="A79" s="543" t="s">
        <v>178</v>
      </c>
      <c r="B79" s="543"/>
      <c r="C79" s="543"/>
      <c r="D79" s="543"/>
      <c r="E79" s="543"/>
      <c r="F79" s="543"/>
      <c r="G79" s="543"/>
      <c r="H79" s="543"/>
      <c r="I79" s="543"/>
      <c r="J79" s="543"/>
      <c r="K79" s="543"/>
      <c r="L79" s="543"/>
      <c r="M79" s="543"/>
      <c r="N79" s="543"/>
      <c r="O79" s="543"/>
      <c r="P79" s="543"/>
      <c r="Q79" s="543"/>
      <c r="R79" s="543"/>
      <c r="S79" s="543"/>
      <c r="T79" s="543"/>
      <c r="U79" s="543"/>
      <c r="V79" s="543"/>
    </row>
    <row r="80" spans="1:33" ht="51.75" customHeight="1">
      <c r="A80" s="543" t="s">
        <v>179</v>
      </c>
      <c r="B80" s="543"/>
      <c r="C80" s="543"/>
      <c r="D80" s="543"/>
      <c r="E80" s="543"/>
      <c r="F80" s="543"/>
      <c r="G80" s="543"/>
      <c r="H80" s="543"/>
      <c r="I80" s="543"/>
      <c r="J80" s="543"/>
      <c r="K80" s="543"/>
      <c r="L80" s="543"/>
      <c r="M80" s="543"/>
      <c r="N80" s="543"/>
      <c r="O80" s="543"/>
      <c r="P80" s="543"/>
      <c r="Q80" s="543"/>
      <c r="R80" s="543"/>
      <c r="S80" s="543"/>
      <c r="T80" s="543"/>
      <c r="U80" s="543"/>
      <c r="V80" s="543"/>
    </row>
    <row r="81" spans="1:22" ht="25.5" customHeight="1">
      <c r="A81" s="543" t="s">
        <v>180</v>
      </c>
      <c r="B81" s="543"/>
      <c r="C81" s="543"/>
      <c r="D81" s="543"/>
      <c r="E81" s="543"/>
      <c r="F81" s="543"/>
      <c r="G81" s="543"/>
      <c r="H81" s="543"/>
      <c r="I81" s="543"/>
      <c r="J81" s="543"/>
      <c r="K81" s="543"/>
      <c r="L81" s="543"/>
      <c r="M81" s="543"/>
      <c r="N81" s="543"/>
      <c r="O81" s="543"/>
      <c r="P81" s="543"/>
      <c r="Q81" s="543"/>
      <c r="R81" s="543"/>
      <c r="S81" s="543"/>
      <c r="T81" s="543"/>
      <c r="U81" s="543"/>
      <c r="V81" s="543"/>
    </row>
    <row r="82" spans="1:22" ht="40.5" customHeight="1">
      <c r="A82" s="543" t="s">
        <v>181</v>
      </c>
      <c r="B82" s="543"/>
      <c r="C82" s="543"/>
      <c r="D82" s="543"/>
      <c r="E82" s="543"/>
      <c r="F82" s="543"/>
      <c r="G82" s="543"/>
      <c r="H82" s="543"/>
      <c r="I82" s="543"/>
      <c r="J82" s="543"/>
      <c r="K82" s="543"/>
      <c r="L82" s="543"/>
      <c r="M82" s="543"/>
      <c r="N82" s="543"/>
      <c r="O82" s="543"/>
      <c r="P82" s="543"/>
      <c r="Q82" s="543"/>
      <c r="R82" s="543"/>
      <c r="S82" s="543"/>
      <c r="T82" s="543"/>
      <c r="U82" s="543"/>
      <c r="V82" s="543"/>
    </row>
    <row r="83" spans="1:22" ht="25.5" customHeight="1">
      <c r="A83" s="543" t="s">
        <v>146</v>
      </c>
      <c r="B83" s="543"/>
      <c r="C83" s="543"/>
      <c r="D83" s="543"/>
      <c r="E83" s="543"/>
      <c r="F83" s="543"/>
      <c r="G83" s="543"/>
      <c r="H83" s="543"/>
      <c r="I83" s="543"/>
      <c r="J83" s="543"/>
      <c r="K83" s="543"/>
      <c r="L83" s="543"/>
      <c r="M83" s="543"/>
      <c r="N83" s="543"/>
      <c r="O83" s="543"/>
      <c r="P83" s="543"/>
      <c r="Q83" s="543"/>
      <c r="R83" s="543"/>
      <c r="S83" s="543"/>
      <c r="T83" s="543"/>
      <c r="U83" s="543"/>
      <c r="V83" s="543"/>
    </row>
    <row r="84" spans="1:22" ht="25.5" customHeight="1">
      <c r="A84" s="543" t="s">
        <v>157</v>
      </c>
      <c r="B84" s="543"/>
      <c r="C84" s="543"/>
      <c r="D84" s="543"/>
      <c r="E84" s="543"/>
      <c r="F84" s="543"/>
      <c r="G84" s="543"/>
      <c r="H84" s="543"/>
      <c r="I84" s="543"/>
      <c r="J84" s="543"/>
      <c r="K84" s="543"/>
      <c r="L84" s="543"/>
      <c r="M84" s="543"/>
      <c r="N84" s="543"/>
      <c r="O84" s="543"/>
      <c r="P84" s="543"/>
      <c r="Q84" s="543"/>
      <c r="R84" s="543"/>
      <c r="S84" s="543"/>
      <c r="T84" s="543"/>
      <c r="U84" s="543"/>
      <c r="V84" s="543"/>
    </row>
    <row r="85" spans="1:22" ht="25.5" customHeight="1">
      <c r="A85" s="543" t="s">
        <v>100</v>
      </c>
      <c r="B85" s="543"/>
      <c r="C85" s="543"/>
      <c r="D85" s="543"/>
      <c r="E85" s="543"/>
      <c r="F85" s="543"/>
      <c r="G85" s="543"/>
      <c r="H85" s="543"/>
      <c r="I85" s="543"/>
      <c r="J85" s="543"/>
      <c r="K85" s="543"/>
      <c r="L85" s="543"/>
      <c r="M85" s="543"/>
      <c r="N85" s="543"/>
      <c r="O85" s="543"/>
      <c r="P85" s="543"/>
      <c r="Q85" s="543"/>
      <c r="R85" s="543"/>
      <c r="S85" s="543"/>
      <c r="T85" s="543"/>
      <c r="U85" s="543"/>
      <c r="V85" s="543"/>
    </row>
    <row r="86" spans="1:22" ht="38.25" customHeight="1">
      <c r="A86" s="544" t="s">
        <v>148</v>
      </c>
      <c r="B86" s="544"/>
      <c r="C86" s="544"/>
      <c r="D86" s="544"/>
      <c r="E86" s="544"/>
      <c r="F86" s="544"/>
      <c r="G86" s="544"/>
      <c r="H86" s="544"/>
      <c r="I86" s="544"/>
      <c r="J86" s="544"/>
      <c r="K86" s="544"/>
      <c r="L86" s="544"/>
      <c r="M86" s="544"/>
      <c r="N86" s="544"/>
      <c r="O86" s="544"/>
      <c r="P86" s="544"/>
      <c r="Q86" s="544"/>
      <c r="R86" s="544"/>
      <c r="S86" s="544"/>
      <c r="T86" s="544"/>
      <c r="U86" s="544"/>
      <c r="V86" s="544"/>
    </row>
    <row r="87" spans="1:22" ht="25.5" customHeight="1">
      <c r="A87" s="543" t="s">
        <v>149</v>
      </c>
      <c r="B87" s="543"/>
      <c r="C87" s="543"/>
      <c r="D87" s="543"/>
      <c r="E87" s="543"/>
      <c r="F87" s="543"/>
      <c r="G87" s="543"/>
      <c r="H87" s="543"/>
      <c r="I87" s="543"/>
      <c r="J87" s="543"/>
      <c r="K87" s="543"/>
      <c r="L87" s="543"/>
      <c r="M87" s="543"/>
      <c r="N87" s="543"/>
      <c r="O87" s="543"/>
      <c r="P87" s="543"/>
      <c r="Q87" s="543"/>
      <c r="R87" s="543"/>
      <c r="S87" s="543"/>
      <c r="T87" s="543"/>
      <c r="U87" s="543"/>
      <c r="V87" s="543"/>
    </row>
    <row r="88" spans="1:22" ht="91.5" customHeight="1">
      <c r="A88" s="544" t="s">
        <v>101</v>
      </c>
      <c r="B88" s="544"/>
      <c r="C88" s="544"/>
      <c r="D88" s="544"/>
      <c r="E88" s="544"/>
      <c r="F88" s="544"/>
      <c r="G88" s="544"/>
      <c r="H88" s="544"/>
      <c r="I88" s="544"/>
      <c r="J88" s="544"/>
      <c r="K88" s="544"/>
      <c r="L88" s="544"/>
      <c r="M88" s="544"/>
      <c r="N88" s="544"/>
      <c r="O88" s="544"/>
      <c r="P88" s="544"/>
      <c r="Q88" s="544"/>
      <c r="R88" s="544"/>
      <c r="S88" s="544"/>
      <c r="T88" s="544"/>
      <c r="U88" s="544"/>
      <c r="V88" s="544"/>
    </row>
  </sheetData>
  <mergeCells count="36">
    <mergeCell ref="A47:V47"/>
    <mergeCell ref="A48:V48"/>
    <mergeCell ref="A49:V49"/>
    <mergeCell ref="A50:V50"/>
    <mergeCell ref="A70:V70"/>
    <mergeCell ref="A71:V71"/>
    <mergeCell ref="A61:V61"/>
    <mergeCell ref="A62:V62"/>
    <mergeCell ref="A64:V64"/>
    <mergeCell ref="A65:V65"/>
    <mergeCell ref="A66:V66"/>
    <mergeCell ref="A67:V67"/>
    <mergeCell ref="A68:V68"/>
    <mergeCell ref="A69:V69"/>
    <mergeCell ref="A72:V72"/>
    <mergeCell ref="A73:V73"/>
    <mergeCell ref="A74:V74"/>
    <mergeCell ref="A76:V76"/>
    <mergeCell ref="A77:V77"/>
    <mergeCell ref="A75:V75"/>
    <mergeCell ref="A78:V78"/>
    <mergeCell ref="A79:V79"/>
    <mergeCell ref="A80:V80"/>
    <mergeCell ref="A81:V81"/>
    <mergeCell ref="A82:V82"/>
    <mergeCell ref="A87:V87"/>
    <mergeCell ref="A88:V88"/>
    <mergeCell ref="A83:V83"/>
    <mergeCell ref="A84:V84"/>
    <mergeCell ref="A85:V85"/>
    <mergeCell ref="A86:V86"/>
    <mergeCell ref="F3:G3"/>
    <mergeCell ref="I3:J3"/>
    <mergeCell ref="L3:M3"/>
    <mergeCell ref="O3:P3"/>
    <mergeCell ref="R3:S3"/>
  </mergeCells>
  <phoneticPr fontId="5" type="noConversion"/>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G91"/>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31" customWidth="1"/>
    <col min="5" max="5" width="8.7109375" style="2" customWidth="1"/>
    <col min="6" max="7" width="12.7109375" style="2" customWidth="1"/>
    <col min="8" max="8" width="8.7109375" style="2" customWidth="1"/>
    <col min="9" max="10" width="12.7109375" style="2" customWidth="1"/>
    <col min="11" max="11" width="8.7109375" style="2" customWidth="1"/>
    <col min="12" max="13" width="12.7109375" style="2" customWidth="1"/>
    <col min="14" max="14" width="8.7109375" style="2" customWidth="1"/>
    <col min="15" max="16" width="12.7109375" style="2" customWidth="1"/>
    <col min="17" max="17" width="8.7109375" style="2" customWidth="1"/>
    <col min="18" max="19" width="12.7109375" style="2" customWidth="1"/>
    <col min="20" max="20" width="12.7109375" style="11" customWidth="1"/>
    <col min="21" max="21" width="7.140625" style="2" bestFit="1" customWidth="1"/>
    <col min="22" max="22" width="15.42578125" style="13" customWidth="1"/>
    <col min="23" max="23" width="12.7109375" style="4" hidden="1" customWidth="1"/>
    <col min="24" max="29" width="12.7109375" style="4" customWidth="1"/>
    <col min="30" max="16384" width="9.140625" style="4"/>
  </cols>
  <sheetData>
    <row r="1" spans="1:23" s="43" customFormat="1" ht="30" customHeight="1">
      <c r="A1" s="514" t="s">
        <v>30</v>
      </c>
      <c r="B1" s="102"/>
      <c r="C1" s="508"/>
      <c r="D1" s="50"/>
      <c r="E1" s="45"/>
      <c r="F1" s="45"/>
      <c r="G1" s="45"/>
      <c r="H1" s="45"/>
      <c r="I1" s="45"/>
      <c r="J1" s="45"/>
      <c r="K1" s="45"/>
      <c r="L1" s="45"/>
      <c r="M1" s="45"/>
      <c r="N1" s="45"/>
      <c r="O1" s="45"/>
      <c r="P1" s="45"/>
      <c r="Q1" s="45"/>
      <c r="R1" s="45"/>
      <c r="S1" s="45"/>
      <c r="T1" s="49"/>
      <c r="U1" s="45"/>
      <c r="V1" s="51"/>
    </row>
    <row r="2" spans="1:23" s="43" customFormat="1" ht="30" customHeight="1">
      <c r="A2" s="514" t="s">
        <v>103</v>
      </c>
      <c r="B2" s="102"/>
      <c r="C2" s="508"/>
      <c r="D2" s="50"/>
      <c r="E2" s="45"/>
      <c r="F2" s="45"/>
      <c r="G2" s="45"/>
      <c r="H2" s="45"/>
      <c r="I2" s="45"/>
      <c r="J2" s="45"/>
      <c r="K2" s="45"/>
      <c r="L2" s="45"/>
      <c r="M2" s="45"/>
      <c r="N2" s="45"/>
      <c r="O2" s="45"/>
      <c r="P2" s="45"/>
      <c r="Q2" s="45"/>
      <c r="R2" s="45"/>
      <c r="S2" s="45"/>
      <c r="T2" s="49"/>
      <c r="U2" s="45"/>
      <c r="V2" s="51"/>
    </row>
    <row r="3" spans="1:23" s="43" customFormat="1" ht="30" customHeight="1">
      <c r="A3" s="514"/>
      <c r="B3" s="102"/>
      <c r="C3" s="508"/>
      <c r="D3" s="50"/>
      <c r="E3" s="45"/>
      <c r="F3" s="546" t="s">
        <v>248</v>
      </c>
      <c r="G3" s="547"/>
      <c r="H3" s="45"/>
      <c r="I3" s="546" t="s">
        <v>248</v>
      </c>
      <c r="J3" s="547"/>
      <c r="K3" s="45"/>
      <c r="L3" s="546" t="s">
        <v>248</v>
      </c>
      <c r="M3" s="547"/>
      <c r="N3" s="45"/>
      <c r="O3" s="546" t="s">
        <v>248</v>
      </c>
      <c r="P3" s="547"/>
      <c r="Q3" s="45"/>
      <c r="R3" s="546" t="s">
        <v>248</v>
      </c>
      <c r="S3" s="547"/>
      <c r="T3" s="49"/>
      <c r="U3" s="45"/>
      <c r="V3" s="51"/>
    </row>
    <row r="4" spans="1:23"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44" t="s">
        <v>33</v>
      </c>
      <c r="B5" s="277">
        <v>0</v>
      </c>
      <c r="C5" s="270" t="s">
        <v>250</v>
      </c>
      <c r="D5" s="384" t="s">
        <v>5</v>
      </c>
      <c r="E5" s="363" t="s">
        <v>5</v>
      </c>
      <c r="F5" s="390" t="s">
        <v>5</v>
      </c>
      <c r="G5" s="404" t="s">
        <v>5</v>
      </c>
      <c r="H5" s="364"/>
      <c r="I5" s="390"/>
      <c r="J5" s="404"/>
      <c r="K5" s="364"/>
      <c r="L5" s="390"/>
      <c r="M5" s="404"/>
      <c r="N5" s="364"/>
      <c r="O5" s="390"/>
      <c r="P5" s="404"/>
      <c r="Q5" s="364"/>
      <c r="R5" s="390"/>
      <c r="S5" s="404"/>
      <c r="T5" s="206" t="s">
        <v>5</v>
      </c>
      <c r="U5" s="270" t="s">
        <v>5</v>
      </c>
      <c r="V5" s="370" t="s">
        <v>5</v>
      </c>
      <c r="W5" s="4" t="str">
        <f>IF(U5="TY","A",IF(U5="TY/TYs","AB",IF(U5="TYs", "B",IF(U5="TC","C",IF(U5="-","",)))))</f>
        <v/>
      </c>
    </row>
    <row r="6" spans="1:23" ht="15" customHeight="1">
      <c r="A6" s="339" t="s">
        <v>50</v>
      </c>
      <c r="B6" s="266">
        <v>1</v>
      </c>
      <c r="C6" s="28" t="s">
        <v>7</v>
      </c>
      <c r="D6" s="302" t="s">
        <v>5</v>
      </c>
      <c r="E6" s="127">
        <f>3.95+3+10.25+(0.5+0.5)*6/7</f>
        <v>18.057142857142857</v>
      </c>
      <c r="F6" s="145" t="str">
        <f>"["&amp;323.46*14&amp;"]"</f>
        <v>[4528.44]</v>
      </c>
      <c r="G6" s="146">
        <f>3630*14</f>
        <v>50820</v>
      </c>
      <c r="H6" s="175" t="s">
        <v>5</v>
      </c>
      <c r="I6" s="400" t="s">
        <v>5</v>
      </c>
      <c r="J6" s="396" t="s">
        <v>5</v>
      </c>
      <c r="K6" s="175" t="s">
        <v>5</v>
      </c>
      <c r="L6" s="400" t="s">
        <v>5</v>
      </c>
      <c r="M6" s="396" t="s">
        <v>5</v>
      </c>
      <c r="N6" s="175" t="s">
        <v>5</v>
      </c>
      <c r="O6" s="400" t="s">
        <v>5</v>
      </c>
      <c r="P6" s="396" t="s">
        <v>5</v>
      </c>
      <c r="Q6" s="175" t="s">
        <v>5</v>
      </c>
      <c r="R6" s="400" t="s">
        <v>5</v>
      </c>
      <c r="S6" s="396" t="s">
        <v>5</v>
      </c>
      <c r="T6" s="192">
        <f>G6*E6/100</f>
        <v>9176.64</v>
      </c>
      <c r="U6" s="19" t="s">
        <v>6</v>
      </c>
      <c r="V6" s="371">
        <v>100</v>
      </c>
      <c r="W6" s="4" t="str">
        <f t="shared" ref="W6:W45" si="0">IF(U6="TY","A",IF(U6="TY/TYs","AB",IF(U6="TYs", "B",IF(U6="TC","C",IF(U6="-","",)))))</f>
        <v>A</v>
      </c>
    </row>
    <row r="7" spans="1:23" ht="15" customHeight="1">
      <c r="A7" s="235" t="s">
        <v>26</v>
      </c>
      <c r="B7" s="267">
        <v>1</v>
      </c>
      <c r="C7" s="19" t="s">
        <v>7</v>
      </c>
      <c r="D7" s="302" t="s">
        <v>5</v>
      </c>
      <c r="E7" s="127">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4" t="str">
        <f t="shared" si="0"/>
        <v>A</v>
      </c>
    </row>
    <row r="8" spans="1:23" ht="15" customHeight="1">
      <c r="A8" s="235" t="s">
        <v>49</v>
      </c>
      <c r="B8" s="267">
        <v>1</v>
      </c>
      <c r="C8" s="19" t="s">
        <v>8</v>
      </c>
      <c r="D8" s="303" t="s">
        <v>5</v>
      </c>
      <c r="E8" s="127">
        <f>0.0195*100</f>
        <v>1.95</v>
      </c>
      <c r="F8" s="145">
        <v>0</v>
      </c>
      <c r="G8" s="146">
        <v>3500</v>
      </c>
      <c r="H8" s="127">
        <f>E8+(0.0495*100)</f>
        <v>6.9</v>
      </c>
      <c r="I8" s="145">
        <f>G8</f>
        <v>3500</v>
      </c>
      <c r="J8" s="146">
        <f>760.5/0.0195</f>
        <v>39000</v>
      </c>
      <c r="K8" s="127">
        <f>0.0495*100</f>
        <v>4.95</v>
      </c>
      <c r="L8" s="145">
        <f>J8</f>
        <v>39000</v>
      </c>
      <c r="M8" s="146">
        <f>(1861.2/0.0495)+3500</f>
        <v>41100</v>
      </c>
      <c r="N8" s="175" t="s">
        <v>5</v>
      </c>
      <c r="O8" s="400" t="s">
        <v>5</v>
      </c>
      <c r="P8" s="396" t="s">
        <v>5</v>
      </c>
      <c r="Q8" s="175" t="s">
        <v>5</v>
      </c>
      <c r="R8" s="400" t="s">
        <v>5</v>
      </c>
      <c r="S8" s="396" t="s">
        <v>5</v>
      </c>
      <c r="T8" s="192">
        <f>(G8-F8)*E8/100 + (J8-I8)*H8/100 + (M8-L8)*K8/100</f>
        <v>2621.7</v>
      </c>
      <c r="U8" s="67" t="s">
        <v>5</v>
      </c>
      <c r="V8" s="372" t="s">
        <v>5</v>
      </c>
      <c r="W8" s="4" t="str">
        <f t="shared" si="0"/>
        <v/>
      </c>
    </row>
    <row r="9" spans="1:23" ht="15" customHeight="1">
      <c r="A9" s="235" t="s">
        <v>66</v>
      </c>
      <c r="B9" s="267">
        <v>1</v>
      </c>
      <c r="C9" s="19" t="s">
        <v>7</v>
      </c>
      <c r="D9" s="303" t="s">
        <v>5</v>
      </c>
      <c r="E9" s="127">
        <f>0.07*100</f>
        <v>7.0000000000000009</v>
      </c>
      <c r="F9" s="145">
        <v>0</v>
      </c>
      <c r="G9" s="146">
        <f>12941863.2/12</f>
        <v>1078488.5999999999</v>
      </c>
      <c r="H9" s="175" t="s">
        <v>5</v>
      </c>
      <c r="I9" s="400" t="s">
        <v>5</v>
      </c>
      <c r="J9" s="396" t="s">
        <v>5</v>
      </c>
      <c r="K9" s="175" t="s">
        <v>5</v>
      </c>
      <c r="L9" s="400" t="s">
        <v>5</v>
      </c>
      <c r="M9" s="396" t="s">
        <v>5</v>
      </c>
      <c r="N9" s="175" t="s">
        <v>5</v>
      </c>
      <c r="O9" s="400" t="s">
        <v>5</v>
      </c>
      <c r="P9" s="396" t="s">
        <v>5</v>
      </c>
      <c r="Q9" s="175" t="s">
        <v>5</v>
      </c>
      <c r="R9" s="400" t="s">
        <v>5</v>
      </c>
      <c r="S9" s="396" t="s">
        <v>5</v>
      </c>
      <c r="T9" s="192">
        <f>(E9/100)*G9</f>
        <v>75494.20199999999</v>
      </c>
      <c r="U9" s="19" t="s">
        <v>5</v>
      </c>
      <c r="V9" s="371" t="s">
        <v>5</v>
      </c>
      <c r="W9" s="4" t="str">
        <f t="shared" si="0"/>
        <v/>
      </c>
    </row>
    <row r="10" spans="1:23" ht="15" customHeight="1">
      <c r="A10" s="235" t="s">
        <v>22</v>
      </c>
      <c r="B10" s="267">
        <v>1</v>
      </c>
      <c r="C10" s="28" t="s">
        <v>7</v>
      </c>
      <c r="D10" s="304" t="s">
        <v>5</v>
      </c>
      <c r="E10" s="127">
        <f>0.125*100</f>
        <v>12.5</v>
      </c>
      <c r="F10" s="319" t="s">
        <v>5</v>
      </c>
      <c r="G10" s="320" t="s">
        <v>5</v>
      </c>
      <c r="H10" s="163" t="s">
        <v>5</v>
      </c>
      <c r="I10" s="395" t="s">
        <v>5</v>
      </c>
      <c r="J10" s="472" t="s">
        <v>5</v>
      </c>
      <c r="K10" s="163" t="s">
        <v>5</v>
      </c>
      <c r="L10" s="395" t="s">
        <v>5</v>
      </c>
      <c r="M10" s="472" t="s">
        <v>5</v>
      </c>
      <c r="N10" s="163" t="s">
        <v>5</v>
      </c>
      <c r="O10" s="395" t="s">
        <v>5</v>
      </c>
      <c r="P10" s="472" t="s">
        <v>5</v>
      </c>
      <c r="Q10" s="163" t="s">
        <v>5</v>
      </c>
      <c r="R10" s="395" t="s">
        <v>5</v>
      </c>
      <c r="S10" s="472" t="s">
        <v>5</v>
      </c>
      <c r="T10" s="193" t="s">
        <v>5</v>
      </c>
      <c r="U10" s="28" t="s">
        <v>6</v>
      </c>
      <c r="V10" s="373">
        <v>100</v>
      </c>
      <c r="W10" s="4" t="str">
        <f t="shared" si="0"/>
        <v>A</v>
      </c>
    </row>
    <row r="11" spans="1:23" ht="15" customHeight="1">
      <c r="A11" s="235" t="s">
        <v>237</v>
      </c>
      <c r="B11" s="267">
        <v>1</v>
      </c>
      <c r="C11" s="19" t="s">
        <v>8</v>
      </c>
      <c r="D11" s="385">
        <v>894.5</v>
      </c>
      <c r="E11" s="207" t="s">
        <v>5</v>
      </c>
      <c r="F11" s="395" t="s">
        <v>5</v>
      </c>
      <c r="G11" s="396" t="s">
        <v>5</v>
      </c>
      <c r="H11" s="175" t="s">
        <v>5</v>
      </c>
      <c r="I11" s="400" t="s">
        <v>5</v>
      </c>
      <c r="J11" s="396" t="s">
        <v>5</v>
      </c>
      <c r="K11" s="175" t="s">
        <v>5</v>
      </c>
      <c r="L11" s="400" t="s">
        <v>5</v>
      </c>
      <c r="M11" s="396" t="s">
        <v>5</v>
      </c>
      <c r="N11" s="175" t="s">
        <v>5</v>
      </c>
      <c r="O11" s="400" t="s">
        <v>5</v>
      </c>
      <c r="P11" s="396" t="s">
        <v>5</v>
      </c>
      <c r="Q11" s="175" t="s">
        <v>5</v>
      </c>
      <c r="R11" s="400" t="s">
        <v>5</v>
      </c>
      <c r="S11" s="396" t="s">
        <v>5</v>
      </c>
      <c r="T11" s="188" t="s">
        <v>5</v>
      </c>
      <c r="U11" s="19" t="s">
        <v>6</v>
      </c>
      <c r="V11" s="371">
        <v>100</v>
      </c>
      <c r="W11" s="4" t="str">
        <f t="shared" si="0"/>
        <v>A</v>
      </c>
    </row>
    <row r="12" spans="1:23" ht="15" customHeight="1">
      <c r="A12" s="235" t="s">
        <v>58</v>
      </c>
      <c r="B12" s="267">
        <v>1</v>
      </c>
      <c r="C12" s="19" t="s">
        <v>7</v>
      </c>
      <c r="D12" s="302" t="s">
        <v>5</v>
      </c>
      <c r="E12" s="127">
        <f>0.01*100</f>
        <v>1</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19" t="s">
        <v>6</v>
      </c>
      <c r="V12" s="371">
        <v>100</v>
      </c>
      <c r="W12" s="4" t="str">
        <f t="shared" si="0"/>
        <v>A</v>
      </c>
    </row>
    <row r="13" spans="1:23" ht="15" customHeight="1">
      <c r="A13" s="235" t="s">
        <v>9</v>
      </c>
      <c r="B13" s="267">
        <v>1</v>
      </c>
      <c r="C13" s="19" t="s">
        <v>10</v>
      </c>
      <c r="D13" s="306" t="s">
        <v>5</v>
      </c>
      <c r="E13" s="127">
        <f>0.015*100</f>
        <v>1.5</v>
      </c>
      <c r="F13" s="145" t="s">
        <v>5</v>
      </c>
      <c r="G13" s="146" t="s">
        <v>5</v>
      </c>
      <c r="H13" s="175" t="s">
        <v>5</v>
      </c>
      <c r="I13" s="400" t="s">
        <v>5</v>
      </c>
      <c r="J13" s="396" t="s">
        <v>5</v>
      </c>
      <c r="K13" s="175" t="s">
        <v>5</v>
      </c>
      <c r="L13" s="400" t="s">
        <v>5</v>
      </c>
      <c r="M13" s="396" t="s">
        <v>5</v>
      </c>
      <c r="N13" s="175" t="s">
        <v>5</v>
      </c>
      <c r="O13" s="400" t="s">
        <v>5</v>
      </c>
      <c r="P13" s="396" t="s">
        <v>5</v>
      </c>
      <c r="Q13" s="175" t="s">
        <v>5</v>
      </c>
      <c r="R13" s="400" t="s">
        <v>5</v>
      </c>
      <c r="S13" s="396" t="s">
        <v>5</v>
      </c>
      <c r="T13" s="192" t="s">
        <v>5</v>
      </c>
      <c r="U13" s="19" t="s">
        <v>5</v>
      </c>
      <c r="V13" s="371" t="s">
        <v>5</v>
      </c>
      <c r="W13" s="4" t="str">
        <f t="shared" si="0"/>
        <v/>
      </c>
    </row>
    <row r="14" spans="1:23" ht="15" customHeight="1">
      <c r="A14" s="235" t="s">
        <v>9</v>
      </c>
      <c r="B14" s="267">
        <v>3</v>
      </c>
      <c r="C14" s="19" t="s">
        <v>8</v>
      </c>
      <c r="D14" s="306" t="s">
        <v>5</v>
      </c>
      <c r="E14" s="127">
        <f>0.051*100</f>
        <v>5.0999999999999996</v>
      </c>
      <c r="F14" s="145" t="s">
        <v>5</v>
      </c>
      <c r="G14" s="146" t="s">
        <v>5</v>
      </c>
      <c r="H14" s="175" t="s">
        <v>5</v>
      </c>
      <c r="I14" s="400" t="s">
        <v>5</v>
      </c>
      <c r="J14" s="396" t="s">
        <v>5</v>
      </c>
      <c r="K14" s="175" t="s">
        <v>5</v>
      </c>
      <c r="L14" s="400" t="s">
        <v>5</v>
      </c>
      <c r="M14" s="396" t="s">
        <v>5</v>
      </c>
      <c r="N14" s="175" t="s">
        <v>5</v>
      </c>
      <c r="O14" s="400" t="s">
        <v>5</v>
      </c>
      <c r="P14" s="396" t="s">
        <v>5</v>
      </c>
      <c r="Q14" s="175" t="s">
        <v>5</v>
      </c>
      <c r="R14" s="400" t="s">
        <v>5</v>
      </c>
      <c r="S14" s="396" t="s">
        <v>5</v>
      </c>
      <c r="T14" s="192" t="s">
        <v>5</v>
      </c>
      <c r="U14" s="19" t="s">
        <v>6</v>
      </c>
      <c r="V14" s="371">
        <v>100</v>
      </c>
      <c r="W14" s="4" t="str">
        <f t="shared" si="0"/>
        <v>A</v>
      </c>
    </row>
    <row r="15" spans="1:23" ht="15" customHeight="1">
      <c r="A15" s="235" t="s">
        <v>52</v>
      </c>
      <c r="B15" s="267">
        <v>1</v>
      </c>
      <c r="C15" s="19" t="s">
        <v>8</v>
      </c>
      <c r="D15" s="303" t="s">
        <v>5</v>
      </c>
      <c r="E15" s="127">
        <f>(0.0655+0.0075+0.024+0.038+0.001)*100</f>
        <v>13.600000000000001</v>
      </c>
      <c r="F15" s="145">
        <v>0</v>
      </c>
      <c r="G15" s="146">
        <v>30192</v>
      </c>
      <c r="H15" s="127">
        <f>(0.0075+0.024+0.089+0.001)*100</f>
        <v>12.15</v>
      </c>
      <c r="I15" s="145">
        <f>G15</f>
        <v>30192</v>
      </c>
      <c r="J15" s="146">
        <f>G15*3</f>
        <v>90576</v>
      </c>
      <c r="K15" s="127">
        <f>(0.0075+0.024+0.001)*100</f>
        <v>3.25</v>
      </c>
      <c r="L15" s="145">
        <f>J15</f>
        <v>90576</v>
      </c>
      <c r="M15" s="146">
        <f>G15*4</f>
        <v>120768</v>
      </c>
      <c r="N15" s="127">
        <f>(0.0075+0.001)*100</f>
        <v>0.85000000000000009</v>
      </c>
      <c r="O15" s="145">
        <f>M15</f>
        <v>120768</v>
      </c>
      <c r="P15" s="396" t="s">
        <v>5</v>
      </c>
      <c r="Q15" s="175" t="s">
        <v>5</v>
      </c>
      <c r="R15" s="400" t="s">
        <v>5</v>
      </c>
      <c r="S15" s="396" t="s">
        <v>5</v>
      </c>
      <c r="T15" s="188" t="s">
        <v>5</v>
      </c>
      <c r="U15" s="19" t="s">
        <v>6</v>
      </c>
      <c r="V15" s="371">
        <f>E15*100/E15</f>
        <v>100</v>
      </c>
      <c r="W15" s="4" t="str">
        <f t="shared" si="0"/>
        <v>A</v>
      </c>
    </row>
    <row r="16" spans="1:23" ht="15" customHeight="1">
      <c r="A16" s="235" t="s">
        <v>54</v>
      </c>
      <c r="B16" s="267">
        <v>1</v>
      </c>
      <c r="C16" s="19" t="s">
        <v>8</v>
      </c>
      <c r="D16" s="303" t="s">
        <v>5</v>
      </c>
      <c r="E16" s="127">
        <f>(0.0975+0.071+0.0325+0.0085)*100</f>
        <v>20.95</v>
      </c>
      <c r="F16" s="145">
        <v>0</v>
      </c>
      <c r="G16" s="146">
        <v>42300</v>
      </c>
      <c r="H16" s="127">
        <f>(0.0975+0.0325)*100</f>
        <v>13</v>
      </c>
      <c r="I16" s="145">
        <f>G16</f>
        <v>42300</v>
      </c>
      <c r="J16" s="146">
        <v>62400</v>
      </c>
      <c r="K16" s="175" t="s">
        <v>5</v>
      </c>
      <c r="L16" s="400" t="s">
        <v>5</v>
      </c>
      <c r="M16" s="396" t="s">
        <v>5</v>
      </c>
      <c r="N16" s="175" t="s">
        <v>5</v>
      </c>
      <c r="O16" s="400" t="s">
        <v>5</v>
      </c>
      <c r="P16" s="396" t="s">
        <v>5</v>
      </c>
      <c r="Q16" s="175" t="s">
        <v>5</v>
      </c>
      <c r="R16" s="400" t="s">
        <v>5</v>
      </c>
      <c r="S16" s="396" t="s">
        <v>5</v>
      </c>
      <c r="T16" s="192">
        <f>(G16-F16)*E16/100 + (J16-I16)*H16/100</f>
        <v>11474.85</v>
      </c>
      <c r="U16" s="62" t="s">
        <v>6</v>
      </c>
      <c r="V16" s="375" t="s">
        <v>253</v>
      </c>
      <c r="W16" s="4" t="str">
        <f t="shared" si="0"/>
        <v>A</v>
      </c>
    </row>
    <row r="17" spans="1:23" ht="15" customHeight="1">
      <c r="A17" s="235" t="s">
        <v>53</v>
      </c>
      <c r="B17" s="267">
        <v>1</v>
      </c>
      <c r="C17" s="19" t="s">
        <v>7</v>
      </c>
      <c r="D17" s="306" t="s">
        <v>5</v>
      </c>
      <c r="E17" s="127">
        <v>16</v>
      </c>
      <c r="F17" s="114">
        <v>0</v>
      </c>
      <c r="G17" s="115">
        <f>63355.2/14</f>
        <v>4525.3714285714286</v>
      </c>
      <c r="H17" s="120" t="s">
        <v>5</v>
      </c>
      <c r="I17" s="219" t="s">
        <v>5</v>
      </c>
      <c r="J17" s="180" t="s">
        <v>5</v>
      </c>
      <c r="K17" s="120" t="s">
        <v>5</v>
      </c>
      <c r="L17" s="219" t="s">
        <v>5</v>
      </c>
      <c r="M17" s="180" t="s">
        <v>5</v>
      </c>
      <c r="N17" s="120" t="s">
        <v>5</v>
      </c>
      <c r="O17" s="219" t="s">
        <v>5</v>
      </c>
      <c r="P17" s="180" t="s">
        <v>5</v>
      </c>
      <c r="Q17" s="120" t="s">
        <v>5</v>
      </c>
      <c r="R17" s="219" t="s">
        <v>5</v>
      </c>
      <c r="S17" s="180" t="s">
        <v>5</v>
      </c>
      <c r="T17" s="192">
        <f>G17*E17/100</f>
        <v>724.05942857142861</v>
      </c>
      <c r="U17" s="19" t="s">
        <v>6</v>
      </c>
      <c r="V17" s="371">
        <v>100</v>
      </c>
      <c r="W17" s="4" t="str">
        <f t="shared" si="0"/>
        <v>A</v>
      </c>
    </row>
    <row r="18" spans="1:23" ht="15" customHeight="1">
      <c r="A18" s="235" t="s">
        <v>23</v>
      </c>
      <c r="B18" s="267">
        <v>1</v>
      </c>
      <c r="C18" s="19" t="s">
        <v>8</v>
      </c>
      <c r="D18" s="302" t="s">
        <v>5</v>
      </c>
      <c r="E18" s="127">
        <f>0.085*100</f>
        <v>8.5</v>
      </c>
      <c r="F18" s="145">
        <v>0</v>
      </c>
      <c r="G18" s="146">
        <v>6000600</v>
      </c>
      <c r="H18" s="175" t="s">
        <v>5</v>
      </c>
      <c r="I18" s="400" t="s">
        <v>5</v>
      </c>
      <c r="J18" s="396" t="s">
        <v>5</v>
      </c>
      <c r="K18" s="175" t="s">
        <v>5</v>
      </c>
      <c r="L18" s="400" t="s">
        <v>5</v>
      </c>
      <c r="M18" s="396" t="s">
        <v>5</v>
      </c>
      <c r="N18" s="175" t="s">
        <v>5</v>
      </c>
      <c r="O18" s="400" t="s">
        <v>5</v>
      </c>
      <c r="P18" s="396" t="s">
        <v>5</v>
      </c>
      <c r="Q18" s="175" t="s">
        <v>5</v>
      </c>
      <c r="R18" s="400" t="s">
        <v>5</v>
      </c>
      <c r="S18" s="396" t="s">
        <v>5</v>
      </c>
      <c r="T18" s="203">
        <f>+G18*E18/100</f>
        <v>510051</v>
      </c>
      <c r="U18" s="23" t="s">
        <v>5</v>
      </c>
      <c r="V18" s="374" t="s">
        <v>5</v>
      </c>
      <c r="W18" s="4" t="str">
        <f t="shared" si="0"/>
        <v/>
      </c>
    </row>
    <row r="19" spans="1:23" ht="15" customHeight="1">
      <c r="A19" s="235" t="s">
        <v>23</v>
      </c>
      <c r="B19" s="267">
        <v>2</v>
      </c>
      <c r="C19" s="19" t="s">
        <v>8</v>
      </c>
      <c r="D19" s="302" t="s">
        <v>5</v>
      </c>
      <c r="E19" s="127">
        <f>(0.04+0.01)*100</f>
        <v>5</v>
      </c>
      <c r="F19" s="145" t="s">
        <v>5</v>
      </c>
      <c r="G19" s="146" t="s">
        <v>5</v>
      </c>
      <c r="H19" s="175" t="s">
        <v>5</v>
      </c>
      <c r="I19" s="400" t="s">
        <v>5</v>
      </c>
      <c r="J19" s="396" t="s">
        <v>5</v>
      </c>
      <c r="K19" s="175" t="s">
        <v>5</v>
      </c>
      <c r="L19" s="400" t="s">
        <v>5</v>
      </c>
      <c r="M19" s="396" t="s">
        <v>5</v>
      </c>
      <c r="N19" s="175" t="s">
        <v>5</v>
      </c>
      <c r="O19" s="400" t="s">
        <v>5</v>
      </c>
      <c r="P19" s="396" t="s">
        <v>5</v>
      </c>
      <c r="Q19" s="175" t="s">
        <v>5</v>
      </c>
      <c r="R19" s="400" t="s">
        <v>5</v>
      </c>
      <c r="S19" s="396" t="s">
        <v>5</v>
      </c>
      <c r="T19" s="203" t="s">
        <v>5</v>
      </c>
      <c r="U19" s="23" t="s">
        <v>5</v>
      </c>
      <c r="V19" s="374" t="s">
        <v>5</v>
      </c>
      <c r="W19" s="4" t="str">
        <f t="shared" si="0"/>
        <v/>
      </c>
    </row>
    <row r="20" spans="1:23" ht="15" customHeight="1">
      <c r="A20" s="235" t="s">
        <v>68</v>
      </c>
      <c r="B20" s="267">
        <v>1</v>
      </c>
      <c r="C20" s="28" t="s">
        <v>6</v>
      </c>
      <c r="D20" s="385">
        <v>6075</v>
      </c>
      <c r="E20" s="127" t="s">
        <v>24</v>
      </c>
      <c r="F20" s="145">
        <v>855231</v>
      </c>
      <c r="G20" s="115" t="s">
        <v>24</v>
      </c>
      <c r="H20" s="120" t="s">
        <v>5</v>
      </c>
      <c r="I20" s="219" t="s">
        <v>5</v>
      </c>
      <c r="J20" s="180" t="s">
        <v>5</v>
      </c>
      <c r="K20" s="120" t="s">
        <v>5</v>
      </c>
      <c r="L20" s="219" t="s">
        <v>5</v>
      </c>
      <c r="M20" s="180" t="s">
        <v>5</v>
      </c>
      <c r="N20" s="120" t="s">
        <v>5</v>
      </c>
      <c r="O20" s="219" t="s">
        <v>5</v>
      </c>
      <c r="P20" s="180" t="s">
        <v>5</v>
      </c>
      <c r="Q20" s="120" t="s">
        <v>5</v>
      </c>
      <c r="R20" s="219" t="s">
        <v>5</v>
      </c>
      <c r="S20" s="180" t="s">
        <v>5</v>
      </c>
      <c r="T20" s="192" t="s">
        <v>24</v>
      </c>
      <c r="U20" s="54" t="s">
        <v>5</v>
      </c>
      <c r="V20" s="374" t="s">
        <v>5</v>
      </c>
      <c r="W20" s="4" t="str">
        <f t="shared" si="0"/>
        <v/>
      </c>
    </row>
    <row r="21" spans="1:23" ht="15" customHeight="1">
      <c r="A21" s="235" t="s">
        <v>68</v>
      </c>
      <c r="B21" s="267">
        <v>2</v>
      </c>
      <c r="C21" s="28" t="s">
        <v>8</v>
      </c>
      <c r="D21" s="386" t="s">
        <v>5</v>
      </c>
      <c r="E21" s="127">
        <v>8</v>
      </c>
      <c r="F21" s="392" t="s">
        <v>5</v>
      </c>
      <c r="G21" s="317" t="s">
        <v>5</v>
      </c>
      <c r="H21" s="120" t="s">
        <v>5</v>
      </c>
      <c r="I21" s="219" t="s">
        <v>5</v>
      </c>
      <c r="J21" s="180" t="s">
        <v>5</v>
      </c>
      <c r="K21" s="120" t="s">
        <v>5</v>
      </c>
      <c r="L21" s="219" t="s">
        <v>5</v>
      </c>
      <c r="M21" s="180" t="s">
        <v>5</v>
      </c>
      <c r="N21" s="120" t="s">
        <v>5</v>
      </c>
      <c r="O21" s="219" t="s">
        <v>5</v>
      </c>
      <c r="P21" s="180" t="s">
        <v>5</v>
      </c>
      <c r="Q21" s="120" t="s">
        <v>5</v>
      </c>
      <c r="R21" s="219" t="s">
        <v>5</v>
      </c>
      <c r="S21" s="180" t="s">
        <v>5</v>
      </c>
      <c r="T21" s="203" t="s">
        <v>5</v>
      </c>
      <c r="U21" s="19" t="s">
        <v>6</v>
      </c>
      <c r="V21" s="371">
        <v>100</v>
      </c>
      <c r="W21" s="4" t="str">
        <f t="shared" si="0"/>
        <v>A</v>
      </c>
    </row>
    <row r="22" spans="1:23" ht="15" customHeight="1">
      <c r="A22" s="235" t="s">
        <v>92</v>
      </c>
      <c r="B22" s="267">
        <v>1</v>
      </c>
      <c r="C22" s="19" t="s">
        <v>8</v>
      </c>
      <c r="D22" s="303" t="s">
        <v>5</v>
      </c>
      <c r="E22" s="127">
        <f>0.02*100</f>
        <v>2</v>
      </c>
      <c r="F22" s="145">
        <v>20872</v>
      </c>
      <c r="G22" s="396" t="s">
        <v>5</v>
      </c>
      <c r="H22" s="175" t="s">
        <v>5</v>
      </c>
      <c r="I22" s="400" t="s">
        <v>5</v>
      </c>
      <c r="J22" s="396" t="s">
        <v>5</v>
      </c>
      <c r="K22" s="175" t="s">
        <v>5</v>
      </c>
      <c r="L22" s="400" t="s">
        <v>5</v>
      </c>
      <c r="M22" s="396" t="s">
        <v>5</v>
      </c>
      <c r="N22" s="175" t="s">
        <v>5</v>
      </c>
      <c r="O22" s="400" t="s">
        <v>5</v>
      </c>
      <c r="P22" s="396" t="s">
        <v>5</v>
      </c>
      <c r="Q22" s="175" t="s">
        <v>5</v>
      </c>
      <c r="R22" s="400" t="s">
        <v>5</v>
      </c>
      <c r="S22" s="396" t="s">
        <v>5</v>
      </c>
      <c r="T22" s="188" t="s">
        <v>5</v>
      </c>
      <c r="U22" s="67" t="s">
        <v>5</v>
      </c>
      <c r="V22" s="372" t="s">
        <v>5</v>
      </c>
      <c r="W22" s="4" t="str">
        <f t="shared" si="0"/>
        <v/>
      </c>
    </row>
    <row r="23" spans="1:23" ht="15" customHeight="1">
      <c r="A23" s="235" t="s">
        <v>92</v>
      </c>
      <c r="B23" s="267">
        <v>2</v>
      </c>
      <c r="C23" s="19" t="str">
        <f>C22</f>
        <v>AGE</v>
      </c>
      <c r="D23" s="302" t="s">
        <v>5</v>
      </c>
      <c r="E23" s="127">
        <f>0.04*100</f>
        <v>4</v>
      </c>
      <c r="F23" s="145" t="s">
        <v>80</v>
      </c>
      <c r="G23" s="115">
        <v>44180</v>
      </c>
      <c r="H23" s="120" t="s">
        <v>5</v>
      </c>
      <c r="I23" s="219" t="s">
        <v>5</v>
      </c>
      <c r="J23" s="180" t="s">
        <v>5</v>
      </c>
      <c r="K23" s="120" t="s">
        <v>5</v>
      </c>
      <c r="L23" s="219" t="s">
        <v>5</v>
      </c>
      <c r="M23" s="180" t="s">
        <v>5</v>
      </c>
      <c r="N23" s="120" t="s">
        <v>5</v>
      </c>
      <c r="O23" s="219" t="s">
        <v>5</v>
      </c>
      <c r="P23" s="180" t="s">
        <v>5</v>
      </c>
      <c r="Q23" s="120" t="s">
        <v>5</v>
      </c>
      <c r="R23" s="219" t="s">
        <v>5</v>
      </c>
      <c r="S23" s="180" t="s">
        <v>5</v>
      </c>
      <c r="T23" s="203">
        <f>E23*G23/100</f>
        <v>1767.2</v>
      </c>
      <c r="U23" s="23" t="s">
        <v>5</v>
      </c>
      <c r="V23" s="374" t="s">
        <v>5</v>
      </c>
      <c r="W23" s="4" t="str">
        <f t="shared" si="0"/>
        <v/>
      </c>
    </row>
    <row r="24" spans="1:23" ht="15" customHeight="1">
      <c r="A24" s="235" t="s">
        <v>69</v>
      </c>
      <c r="B24" s="267">
        <v>1</v>
      </c>
      <c r="C24" s="19" t="s">
        <v>7</v>
      </c>
      <c r="D24" s="303" t="s">
        <v>5</v>
      </c>
      <c r="E24" s="127">
        <f>0.045*100</f>
        <v>4.5</v>
      </c>
      <c r="F24" s="145">
        <v>0</v>
      </c>
      <c r="G24" s="146">
        <f>41784/12</f>
        <v>3482</v>
      </c>
      <c r="H24" s="127">
        <f>0.1038*100</f>
        <v>10.38</v>
      </c>
      <c r="I24" s="145">
        <f>G24</f>
        <v>3482</v>
      </c>
      <c r="J24" s="146">
        <f>417840/12</f>
        <v>34820</v>
      </c>
      <c r="K24" s="175" t="s">
        <v>5</v>
      </c>
      <c r="L24" s="400" t="s">
        <v>5</v>
      </c>
      <c r="M24" s="396" t="s">
        <v>5</v>
      </c>
      <c r="N24" s="175" t="s">
        <v>5</v>
      </c>
      <c r="O24" s="400" t="s">
        <v>5</v>
      </c>
      <c r="P24" s="396" t="s">
        <v>5</v>
      </c>
      <c r="Q24" s="175" t="s">
        <v>5</v>
      </c>
      <c r="R24" s="400" t="s">
        <v>5</v>
      </c>
      <c r="S24" s="396" t="s">
        <v>5</v>
      </c>
      <c r="T24" s="192">
        <f>+E24/100*G24+H24/100*(J24-I24)</f>
        <v>3409.5744</v>
      </c>
      <c r="U24" s="67" t="s">
        <v>5</v>
      </c>
      <c r="V24" s="372" t="s">
        <v>5</v>
      </c>
      <c r="W24" s="4" t="str">
        <f t="shared" si="0"/>
        <v/>
      </c>
    </row>
    <row r="25" spans="1:23" ht="15" customHeight="1">
      <c r="A25" s="235" t="s">
        <v>13</v>
      </c>
      <c r="B25" s="267">
        <v>1</v>
      </c>
      <c r="C25" s="19" t="s">
        <v>8</v>
      </c>
      <c r="D25" s="303" t="s">
        <v>5</v>
      </c>
      <c r="E25" s="127">
        <f>0.0919*100</f>
        <v>9.19</v>
      </c>
      <c r="F25" s="145">
        <v>0</v>
      </c>
      <c r="G25" s="146">
        <v>38641</v>
      </c>
      <c r="H25" s="127">
        <f>0.1019*100</f>
        <v>10.190000000000001</v>
      </c>
      <c r="I25" s="145">
        <f>G25</f>
        <v>38641</v>
      </c>
      <c r="J25" s="146">
        <v>84049</v>
      </c>
      <c r="K25" s="175" t="s">
        <v>5</v>
      </c>
      <c r="L25" s="400" t="s">
        <v>5</v>
      </c>
      <c r="M25" s="396" t="s">
        <v>5</v>
      </c>
      <c r="N25" s="175" t="s">
        <v>5</v>
      </c>
      <c r="O25" s="400" t="s">
        <v>5</v>
      </c>
      <c r="P25" s="396" t="s">
        <v>5</v>
      </c>
      <c r="Q25" s="175" t="s">
        <v>5</v>
      </c>
      <c r="R25" s="400" t="s">
        <v>5</v>
      </c>
      <c r="S25" s="396" t="s">
        <v>5</v>
      </c>
      <c r="T25" s="203">
        <f>((E25/100)*G25)+(H25/100)*(J25-I25)</f>
        <v>8178.1831000000011</v>
      </c>
      <c r="U25" s="279" t="s">
        <v>6</v>
      </c>
      <c r="V25" s="374">
        <v>100</v>
      </c>
      <c r="W25" s="4" t="str">
        <f t="shared" si="0"/>
        <v>A</v>
      </c>
    </row>
    <row r="26" spans="1:23" s="2" customFormat="1" ht="15" customHeight="1">
      <c r="A26" s="235" t="s">
        <v>14</v>
      </c>
      <c r="B26" s="267">
        <v>1</v>
      </c>
      <c r="C26" s="19" t="s">
        <v>7</v>
      </c>
      <c r="D26" s="306" t="s">
        <v>5</v>
      </c>
      <c r="E26" s="127">
        <f>0.06967*100+H26</f>
        <v>11.847000000000001</v>
      </c>
      <c r="F26" s="392">
        <v>0</v>
      </c>
      <c r="G26" s="146">
        <f>7440000/12</f>
        <v>620000</v>
      </c>
      <c r="H26" s="127">
        <f>0.041*100+K26</f>
        <v>4.8800000000000008</v>
      </c>
      <c r="I26" s="392">
        <f>G26</f>
        <v>620000</v>
      </c>
      <c r="J26" s="146">
        <f>11760000/12</f>
        <v>980000</v>
      </c>
      <c r="K26" s="127">
        <f>0.0078*100</f>
        <v>0.77999999999999992</v>
      </c>
      <c r="L26" s="392">
        <f>J26</f>
        <v>980000</v>
      </c>
      <c r="M26" s="180" t="s">
        <v>5</v>
      </c>
      <c r="N26" s="175" t="s">
        <v>5</v>
      </c>
      <c r="O26" s="400" t="s">
        <v>5</v>
      </c>
      <c r="P26" s="396" t="s">
        <v>5</v>
      </c>
      <c r="Q26" s="175" t="s">
        <v>5</v>
      </c>
      <c r="R26" s="400" t="s">
        <v>5</v>
      </c>
      <c r="S26" s="396" t="s">
        <v>5</v>
      </c>
      <c r="T26" s="192" t="s">
        <v>5</v>
      </c>
      <c r="U26" s="19" t="s">
        <v>6</v>
      </c>
      <c r="V26" s="371">
        <v>100</v>
      </c>
      <c r="W26" s="4" t="str">
        <f t="shared" si="0"/>
        <v>A</v>
      </c>
    </row>
    <row r="27" spans="1:23" s="2" customFormat="1" ht="15" customHeight="1">
      <c r="A27" s="235" t="s">
        <v>15</v>
      </c>
      <c r="B27" s="267">
        <v>1</v>
      </c>
      <c r="C27" s="28" t="s">
        <v>7</v>
      </c>
      <c r="D27" s="306" t="s">
        <v>5</v>
      </c>
      <c r="E27" s="127">
        <f>(0.045*100)+H27</f>
        <v>7.1049999999999995</v>
      </c>
      <c r="F27" s="114">
        <v>0</v>
      </c>
      <c r="G27" s="146">
        <f>(1944000/0.045)/12</f>
        <v>3600000</v>
      </c>
      <c r="H27" s="143">
        <f>(0.02155*100)+K27</f>
        <v>2.6049999999999995</v>
      </c>
      <c r="I27" s="114">
        <f>G27</f>
        <v>3600000</v>
      </c>
      <c r="J27" s="146">
        <f>(13136880/0.02155)/12</f>
        <v>50800000</v>
      </c>
      <c r="K27" s="208">
        <f>0.0045*100</f>
        <v>0.44999999999999996</v>
      </c>
      <c r="L27" s="133">
        <f>J27</f>
        <v>50800000</v>
      </c>
      <c r="M27" s="396" t="s">
        <v>5</v>
      </c>
      <c r="N27" s="175" t="s">
        <v>5</v>
      </c>
      <c r="O27" s="400" t="s">
        <v>5</v>
      </c>
      <c r="P27" s="396" t="s">
        <v>5</v>
      </c>
      <c r="Q27" s="175" t="s">
        <v>5</v>
      </c>
      <c r="R27" s="400" t="s">
        <v>5</v>
      </c>
      <c r="S27" s="396" t="s">
        <v>5</v>
      </c>
      <c r="T27" s="188" t="s">
        <v>5</v>
      </c>
      <c r="U27" s="19" t="s">
        <v>6</v>
      </c>
      <c r="V27" s="371">
        <v>100</v>
      </c>
      <c r="W27" s="4" t="str">
        <f t="shared" si="0"/>
        <v>A</v>
      </c>
    </row>
    <row r="28" spans="1:23" s="40" customFormat="1">
      <c r="A28" s="513" t="s">
        <v>282</v>
      </c>
      <c r="B28" s="500">
        <v>1</v>
      </c>
      <c r="C28" s="30" t="s">
        <v>8</v>
      </c>
      <c r="D28" s="502" t="s">
        <v>5</v>
      </c>
      <c r="E28" s="503">
        <v>9</v>
      </c>
      <c r="F28" s="400">
        <v>0</v>
      </c>
      <c r="G28" s="396">
        <v>28315</v>
      </c>
      <c r="H28" s="501"/>
      <c r="I28" s="504"/>
      <c r="J28" s="505"/>
      <c r="K28" s="501"/>
      <c r="L28" s="504"/>
      <c r="M28" s="505"/>
      <c r="N28" s="506"/>
      <c r="O28" s="504"/>
      <c r="P28" s="505"/>
      <c r="Q28" s="506"/>
      <c r="R28" s="504"/>
      <c r="S28" s="505"/>
      <c r="T28" s="507">
        <f>(E28/100)*G28</f>
        <v>2548.35</v>
      </c>
      <c r="U28" s="62" t="s">
        <v>6</v>
      </c>
      <c r="V28" s="375">
        <v>100</v>
      </c>
      <c r="W28" s="30" t="str">
        <f t="shared" si="0"/>
        <v>A</v>
      </c>
    </row>
    <row r="29" spans="1:23" ht="15" customHeight="1">
      <c r="A29" s="235" t="s">
        <v>70</v>
      </c>
      <c r="B29" s="267">
        <v>1</v>
      </c>
      <c r="C29" s="19" t="s">
        <v>8</v>
      </c>
      <c r="D29" s="304" t="s">
        <v>5</v>
      </c>
      <c r="E29" s="127">
        <f>0.108*100</f>
        <v>10.8</v>
      </c>
      <c r="F29" s="145">
        <v>0</v>
      </c>
      <c r="G29" s="146">
        <v>88006.2</v>
      </c>
      <c r="H29" s="175" t="s">
        <v>5</v>
      </c>
      <c r="I29" s="400" t="s">
        <v>5</v>
      </c>
      <c r="J29" s="396" t="s">
        <v>5</v>
      </c>
      <c r="K29" s="175" t="s">
        <v>5</v>
      </c>
      <c r="L29" s="400" t="s">
        <v>5</v>
      </c>
      <c r="M29" s="396" t="s">
        <v>5</v>
      </c>
      <c r="N29" s="175" t="s">
        <v>5</v>
      </c>
      <c r="O29" s="400" t="s">
        <v>5</v>
      </c>
      <c r="P29" s="396" t="s">
        <v>5</v>
      </c>
      <c r="Q29" s="175" t="s">
        <v>5</v>
      </c>
      <c r="R29" s="400" t="s">
        <v>5</v>
      </c>
      <c r="S29" s="396" t="s">
        <v>5</v>
      </c>
      <c r="T29" s="192">
        <f>G29*E29/100</f>
        <v>9504.6696000000011</v>
      </c>
      <c r="U29" s="28" t="s">
        <v>6</v>
      </c>
      <c r="V29" s="373">
        <v>100</v>
      </c>
      <c r="W29" s="4" t="str">
        <f t="shared" si="0"/>
        <v>A</v>
      </c>
    </row>
    <row r="30" spans="1:23" ht="15" customHeight="1">
      <c r="A30" s="235" t="s">
        <v>70</v>
      </c>
      <c r="B30" s="267">
        <v>2</v>
      </c>
      <c r="C30" s="19" t="s">
        <v>8</v>
      </c>
      <c r="D30" s="304" t="s">
        <v>5</v>
      </c>
      <c r="E30" s="127">
        <f>0.01*100</f>
        <v>1</v>
      </c>
      <c r="F30" s="145">
        <f>0.25*17601.24</f>
        <v>4400.3100000000004</v>
      </c>
      <c r="G30" s="180" t="s">
        <v>5</v>
      </c>
      <c r="H30" s="120" t="s">
        <v>5</v>
      </c>
      <c r="I30" s="219" t="s">
        <v>5</v>
      </c>
      <c r="J30" s="180" t="s">
        <v>5</v>
      </c>
      <c r="K30" s="120" t="s">
        <v>5</v>
      </c>
      <c r="L30" s="219" t="s">
        <v>5</v>
      </c>
      <c r="M30" s="180" t="s">
        <v>5</v>
      </c>
      <c r="N30" s="120" t="s">
        <v>5</v>
      </c>
      <c r="O30" s="219" t="s">
        <v>5</v>
      </c>
      <c r="P30" s="180" t="s">
        <v>5</v>
      </c>
      <c r="Q30" s="120" t="s">
        <v>5</v>
      </c>
      <c r="R30" s="219" t="s">
        <v>5</v>
      </c>
      <c r="S30" s="180" t="s">
        <v>5</v>
      </c>
      <c r="T30" s="193" t="s">
        <v>5</v>
      </c>
      <c r="U30" s="7" t="s">
        <v>5</v>
      </c>
      <c r="V30" s="376" t="s">
        <v>5</v>
      </c>
      <c r="W30" s="4" t="str">
        <f t="shared" si="0"/>
        <v/>
      </c>
    </row>
    <row r="31" spans="1:23" s="2" customFormat="1" ht="15" customHeight="1">
      <c r="A31" s="235" t="s">
        <v>71</v>
      </c>
      <c r="B31" s="267">
        <v>1</v>
      </c>
      <c r="C31" s="19" t="s">
        <v>7</v>
      </c>
      <c r="D31" s="306" t="s">
        <v>5</v>
      </c>
      <c r="E31" s="127">
        <f>0.625+0.625</f>
        <v>1.25</v>
      </c>
      <c r="F31" s="114">
        <v>0</v>
      </c>
      <c r="G31" s="115">
        <f>3*46.8*(365/12)</f>
        <v>4270.4999999999991</v>
      </c>
      <c r="H31" s="127">
        <f>E31+0.88</f>
        <v>2.13</v>
      </c>
      <c r="I31" s="114">
        <f>G31</f>
        <v>4270.4999999999991</v>
      </c>
      <c r="J31" s="115">
        <f>22*46.8*(365/12)</f>
        <v>31317</v>
      </c>
      <c r="K31" s="127">
        <f>0.625+0.88</f>
        <v>1.5049999999999999</v>
      </c>
      <c r="L31" s="114">
        <f>J31</f>
        <v>31317</v>
      </c>
      <c r="M31" s="115">
        <f>25*46.8*(365/12)</f>
        <v>35587.5</v>
      </c>
      <c r="N31" s="120" t="s">
        <v>5</v>
      </c>
      <c r="O31" s="219" t="s">
        <v>5</v>
      </c>
      <c r="P31" s="180" t="s">
        <v>5</v>
      </c>
      <c r="Q31" s="120" t="s">
        <v>5</v>
      </c>
      <c r="R31" s="219" t="s">
        <v>5</v>
      </c>
      <c r="S31" s="180" t="s">
        <v>5</v>
      </c>
      <c r="T31" s="196">
        <f>($E$31/100*$G$31)+($H$31/100*($J$31-$I$31))+($K$31/100*($M$31-$L$31))</f>
        <v>693.74272500000006</v>
      </c>
      <c r="U31" s="335" t="s">
        <v>5</v>
      </c>
      <c r="V31" s="343" t="s">
        <v>5</v>
      </c>
      <c r="W31" s="4" t="str">
        <f t="shared" si="0"/>
        <v/>
      </c>
    </row>
    <row r="32" spans="1:23" ht="15" customHeight="1">
      <c r="A32" s="339" t="s">
        <v>60</v>
      </c>
      <c r="B32" s="266">
        <v>1</v>
      </c>
      <c r="C32" s="28" t="s">
        <v>8</v>
      </c>
      <c r="D32" s="304" t="s">
        <v>5</v>
      </c>
      <c r="E32" s="127">
        <f>(0.179+0.0125+0.1345)*100</f>
        <v>32.6</v>
      </c>
      <c r="F32" s="319">
        <v>0</v>
      </c>
      <c r="G32" s="320">
        <v>30357</v>
      </c>
      <c r="H32" s="163" t="s">
        <v>5</v>
      </c>
      <c r="I32" s="395" t="s">
        <v>5</v>
      </c>
      <c r="J32" s="472" t="s">
        <v>5</v>
      </c>
      <c r="K32" s="163" t="s">
        <v>5</v>
      </c>
      <c r="L32" s="395" t="s">
        <v>5</v>
      </c>
      <c r="M32" s="472" t="s">
        <v>5</v>
      </c>
      <c r="N32" s="163" t="s">
        <v>5</v>
      </c>
      <c r="O32" s="395" t="s">
        <v>5</v>
      </c>
      <c r="P32" s="472" t="s">
        <v>5</v>
      </c>
      <c r="Q32" s="163" t="s">
        <v>5</v>
      </c>
      <c r="R32" s="395" t="s">
        <v>5</v>
      </c>
      <c r="S32" s="472" t="s">
        <v>5</v>
      </c>
      <c r="T32" s="196">
        <f>(G32-F32)*E32/100</f>
        <v>9896.3820000000014</v>
      </c>
      <c r="U32" s="28" t="s">
        <v>6</v>
      </c>
      <c r="V32" s="373">
        <v>100</v>
      </c>
      <c r="W32" s="4" t="str">
        <f t="shared" si="0"/>
        <v>A</v>
      </c>
    </row>
    <row r="33" spans="1:23" ht="15" customHeight="1">
      <c r="A33" s="244" t="s">
        <v>42</v>
      </c>
      <c r="B33" s="268">
        <v>0</v>
      </c>
      <c r="C33" s="111" t="s">
        <v>250</v>
      </c>
      <c r="D33" s="310" t="s">
        <v>5</v>
      </c>
      <c r="E33" s="366" t="s">
        <v>5</v>
      </c>
      <c r="F33" s="398" t="s">
        <v>5</v>
      </c>
      <c r="G33" s="399" t="s">
        <v>5</v>
      </c>
      <c r="H33" s="163" t="s">
        <v>5</v>
      </c>
      <c r="I33" s="395" t="s">
        <v>5</v>
      </c>
      <c r="J33" s="472" t="s">
        <v>5</v>
      </c>
      <c r="K33" s="163" t="s">
        <v>5</v>
      </c>
      <c r="L33" s="395" t="s">
        <v>5</v>
      </c>
      <c r="M33" s="472" t="s">
        <v>5</v>
      </c>
      <c r="N33" s="163" t="s">
        <v>5</v>
      </c>
      <c r="O33" s="395" t="s">
        <v>5</v>
      </c>
      <c r="P33" s="472" t="s">
        <v>5</v>
      </c>
      <c r="Q33" s="163" t="s">
        <v>5</v>
      </c>
      <c r="R33" s="395" t="s">
        <v>5</v>
      </c>
      <c r="S33" s="472" t="s">
        <v>5</v>
      </c>
      <c r="T33" s="197" t="s">
        <v>5</v>
      </c>
      <c r="U33" s="111" t="s">
        <v>5</v>
      </c>
      <c r="V33" s="377" t="s">
        <v>5</v>
      </c>
      <c r="W33" s="4" t="str">
        <f t="shared" si="0"/>
        <v/>
      </c>
    </row>
    <row r="34" spans="1:23" ht="15" customHeight="1">
      <c r="A34" s="235" t="s">
        <v>16</v>
      </c>
      <c r="B34" s="267">
        <v>1</v>
      </c>
      <c r="C34" s="19" t="s">
        <v>8</v>
      </c>
      <c r="D34" s="302" t="s">
        <v>5</v>
      </c>
      <c r="E34" s="127">
        <f>0.078*100</f>
        <v>7.8</v>
      </c>
      <c r="F34" s="145" t="s">
        <v>37</v>
      </c>
      <c r="G34" s="146" t="s">
        <v>5</v>
      </c>
      <c r="H34" s="175" t="s">
        <v>5</v>
      </c>
      <c r="I34" s="400" t="s">
        <v>5</v>
      </c>
      <c r="J34" s="396" t="s">
        <v>5</v>
      </c>
      <c r="K34" s="175" t="s">
        <v>5</v>
      </c>
      <c r="L34" s="400" t="s">
        <v>5</v>
      </c>
      <c r="M34" s="396" t="s">
        <v>5</v>
      </c>
      <c r="N34" s="175" t="s">
        <v>5</v>
      </c>
      <c r="O34" s="400" t="s">
        <v>5</v>
      </c>
      <c r="P34" s="396" t="s">
        <v>5</v>
      </c>
      <c r="Q34" s="175" t="s">
        <v>5</v>
      </c>
      <c r="R34" s="400" t="s">
        <v>5</v>
      </c>
      <c r="S34" s="396" t="s">
        <v>5</v>
      </c>
      <c r="T34" s="202" t="s">
        <v>5</v>
      </c>
      <c r="U34" s="54" t="s">
        <v>5</v>
      </c>
      <c r="V34" s="374" t="s">
        <v>5</v>
      </c>
      <c r="W34" s="4" t="str">
        <f t="shared" si="0"/>
        <v/>
      </c>
    </row>
    <row r="35" spans="1:23" ht="15" customHeight="1">
      <c r="A35" s="235" t="s">
        <v>72</v>
      </c>
      <c r="B35" s="267">
        <v>1</v>
      </c>
      <c r="C35" s="19" t="s">
        <v>8</v>
      </c>
      <c r="D35" s="303" t="s">
        <v>5</v>
      </c>
      <c r="E35" s="127">
        <f>(0.0610976+0.065)*100</f>
        <v>12.60976</v>
      </c>
      <c r="F35" s="316">
        <v>0</v>
      </c>
      <c r="G35" s="317">
        <v>72690</v>
      </c>
      <c r="H35" s="127">
        <f>0.0245*100</f>
        <v>2.4500000000000002</v>
      </c>
      <c r="I35" s="316">
        <v>72690</v>
      </c>
      <c r="J35" s="180" t="s">
        <v>5</v>
      </c>
      <c r="K35" s="120" t="s">
        <v>5</v>
      </c>
      <c r="L35" s="219" t="s">
        <v>5</v>
      </c>
      <c r="M35" s="180" t="s">
        <v>5</v>
      </c>
      <c r="N35" s="120" t="s">
        <v>5</v>
      </c>
      <c r="O35" s="219" t="s">
        <v>5</v>
      </c>
      <c r="P35" s="180" t="s">
        <v>5</v>
      </c>
      <c r="Q35" s="120" t="s">
        <v>5</v>
      </c>
      <c r="R35" s="219" t="s">
        <v>5</v>
      </c>
      <c r="S35" s="180" t="s">
        <v>5</v>
      </c>
      <c r="T35" s="202" t="s">
        <v>5</v>
      </c>
      <c r="U35" s="19" t="s">
        <v>6</v>
      </c>
      <c r="V35" s="371">
        <v>100</v>
      </c>
      <c r="W35" s="4" t="str">
        <f t="shared" si="0"/>
        <v>A</v>
      </c>
    </row>
    <row r="36" spans="1:23" ht="15" customHeight="1">
      <c r="A36" s="235" t="s">
        <v>72</v>
      </c>
      <c r="B36" s="267">
        <v>2</v>
      </c>
      <c r="C36" s="19" t="s">
        <v>8</v>
      </c>
      <c r="D36" s="303" t="s">
        <v>5</v>
      </c>
      <c r="E36" s="127">
        <f>0.085*100</f>
        <v>8.5</v>
      </c>
      <c r="F36" s="316" t="s">
        <v>5</v>
      </c>
      <c r="G36" s="317" t="s">
        <v>5</v>
      </c>
      <c r="H36" s="120" t="s">
        <v>5</v>
      </c>
      <c r="I36" s="219" t="s">
        <v>5</v>
      </c>
      <c r="J36" s="180" t="s">
        <v>5</v>
      </c>
      <c r="K36" s="120" t="s">
        <v>5</v>
      </c>
      <c r="L36" s="219" t="s">
        <v>5</v>
      </c>
      <c r="M36" s="180" t="s">
        <v>5</v>
      </c>
      <c r="N36" s="120" t="s">
        <v>5</v>
      </c>
      <c r="O36" s="219" t="s">
        <v>5</v>
      </c>
      <c r="P36" s="180" t="s">
        <v>5</v>
      </c>
      <c r="Q36" s="120" t="s">
        <v>5</v>
      </c>
      <c r="R36" s="219" t="s">
        <v>5</v>
      </c>
      <c r="S36" s="180" t="s">
        <v>5</v>
      </c>
      <c r="T36" s="202" t="s">
        <v>5</v>
      </c>
      <c r="U36" s="19" t="s">
        <v>6</v>
      </c>
      <c r="V36" s="371">
        <v>100</v>
      </c>
      <c r="W36" s="4" t="str">
        <f t="shared" si="0"/>
        <v>A</v>
      </c>
    </row>
    <row r="37" spans="1:23" ht="15" customHeight="1">
      <c r="A37" s="235" t="s">
        <v>17</v>
      </c>
      <c r="B37" s="267">
        <v>1</v>
      </c>
      <c r="C37" s="19" t="s">
        <v>7</v>
      </c>
      <c r="D37" s="302" t="s">
        <v>5</v>
      </c>
      <c r="E37" s="127">
        <f>0.11*100</f>
        <v>11</v>
      </c>
      <c r="F37" s="145" t="s">
        <v>5</v>
      </c>
      <c r="G37" s="146" t="s">
        <v>5</v>
      </c>
      <c r="H37" s="175" t="s">
        <v>5</v>
      </c>
      <c r="I37" s="400" t="s">
        <v>5</v>
      </c>
      <c r="J37" s="396" t="s">
        <v>5</v>
      </c>
      <c r="K37" s="175" t="s">
        <v>5</v>
      </c>
      <c r="L37" s="400" t="s">
        <v>5</v>
      </c>
      <c r="M37" s="396" t="s">
        <v>5</v>
      </c>
      <c r="N37" s="175" t="s">
        <v>5</v>
      </c>
      <c r="O37" s="400" t="s">
        <v>5</v>
      </c>
      <c r="P37" s="396" t="s">
        <v>5</v>
      </c>
      <c r="Q37" s="175" t="s">
        <v>5</v>
      </c>
      <c r="R37" s="400" t="s">
        <v>5</v>
      </c>
      <c r="S37" s="396" t="s">
        <v>5</v>
      </c>
      <c r="T37" s="202" t="s">
        <v>5</v>
      </c>
      <c r="U37" s="19" t="s">
        <v>6</v>
      </c>
      <c r="V37" s="371">
        <v>100</v>
      </c>
      <c r="W37" s="4" t="str">
        <f t="shared" si="0"/>
        <v>A</v>
      </c>
    </row>
    <row r="38" spans="1:23" ht="15" customHeight="1">
      <c r="A38" s="235" t="s">
        <v>51</v>
      </c>
      <c r="B38" s="266">
        <v>1</v>
      </c>
      <c r="C38" s="19" t="s">
        <v>7</v>
      </c>
      <c r="D38" s="304" t="s">
        <v>5</v>
      </c>
      <c r="E38" s="127">
        <f>(0.014+0.04+0.08)*100</f>
        <v>13.4</v>
      </c>
      <c r="F38" s="145" t="str">
        <f>"["&amp;ROUND(219.08,1)&amp;"]"</f>
        <v>[219.1]</v>
      </c>
      <c r="G38" s="146">
        <f>9019.11969727146/12</f>
        <v>751.59330810595509</v>
      </c>
      <c r="H38" s="498">
        <f>(0.04+0.08)*100</f>
        <v>12</v>
      </c>
      <c r="I38" s="400">
        <f>G38</f>
        <v>751.59330810595509</v>
      </c>
      <c r="J38" s="396">
        <f>17165.9032065326/12</f>
        <v>1430.4919338777165</v>
      </c>
      <c r="K38" s="498">
        <f>0.08*100</f>
        <v>8</v>
      </c>
      <c r="L38" s="400">
        <f>J38</f>
        <v>1430.4919338777165</v>
      </c>
      <c r="M38" s="396">
        <f>18038.2393945429/12</f>
        <v>1503.1866162119084</v>
      </c>
      <c r="N38" s="175" t="s">
        <v>5</v>
      </c>
      <c r="O38" s="400" t="s">
        <v>5</v>
      </c>
      <c r="P38" s="396" t="s">
        <v>5</v>
      </c>
      <c r="Q38" s="175" t="s">
        <v>5</v>
      </c>
      <c r="R38" s="400" t="s">
        <v>5</v>
      </c>
      <c r="S38" s="396" t="s">
        <v>5</v>
      </c>
      <c r="T38" s="202" t="s">
        <v>5</v>
      </c>
      <c r="U38" s="28" t="s">
        <v>6</v>
      </c>
      <c r="V38" s="373">
        <v>100</v>
      </c>
      <c r="W38" s="4" t="str">
        <f t="shared" si="0"/>
        <v>A</v>
      </c>
    </row>
    <row r="39" spans="1:23" ht="15" customHeight="1">
      <c r="A39" s="235" t="s">
        <v>59</v>
      </c>
      <c r="B39" s="267">
        <v>1</v>
      </c>
      <c r="C39" s="19" t="s">
        <v>7</v>
      </c>
      <c r="D39" s="303" t="s">
        <v>5</v>
      </c>
      <c r="E39" s="127">
        <f>0.221*100</f>
        <v>22.1</v>
      </c>
      <c r="F39" s="400" t="s">
        <v>5</v>
      </c>
      <c r="G39" s="396" t="s">
        <v>5</v>
      </c>
      <c r="H39" s="175" t="s">
        <v>5</v>
      </c>
      <c r="I39" s="400" t="s">
        <v>5</v>
      </c>
      <c r="J39" s="396" t="s">
        <v>5</v>
      </c>
      <c r="K39" s="175" t="s">
        <v>5</v>
      </c>
      <c r="L39" s="400" t="s">
        <v>5</v>
      </c>
      <c r="M39" s="396" t="s">
        <v>5</v>
      </c>
      <c r="N39" s="175" t="s">
        <v>5</v>
      </c>
      <c r="O39" s="400" t="s">
        <v>5</v>
      </c>
      <c r="P39" s="396" t="s">
        <v>5</v>
      </c>
      <c r="Q39" s="175" t="s">
        <v>5</v>
      </c>
      <c r="R39" s="400" t="s">
        <v>5</v>
      </c>
      <c r="S39" s="396" t="s">
        <v>5</v>
      </c>
      <c r="T39" s="199" t="s">
        <v>5</v>
      </c>
      <c r="U39" s="28" t="s">
        <v>6</v>
      </c>
      <c r="V39" s="373">
        <v>100</v>
      </c>
      <c r="W39" s="4" t="str">
        <f t="shared" si="0"/>
        <v>A</v>
      </c>
    </row>
    <row r="40" spans="1:23" ht="15" customHeight="1">
      <c r="A40" s="235" t="s">
        <v>213</v>
      </c>
      <c r="B40" s="267">
        <v>1</v>
      </c>
      <c r="C40" s="19" t="s">
        <v>8</v>
      </c>
      <c r="D40" s="302" t="s">
        <v>5</v>
      </c>
      <c r="E40" s="127">
        <f>(0.047+0.0155+0.001)*100</f>
        <v>6.35</v>
      </c>
      <c r="F40" s="145">
        <v>0</v>
      </c>
      <c r="G40" s="146">
        <v>33760.800000000003</v>
      </c>
      <c r="H40" s="175" t="s">
        <v>5</v>
      </c>
      <c r="I40" s="400" t="s">
        <v>5</v>
      </c>
      <c r="J40" s="396" t="s">
        <v>5</v>
      </c>
      <c r="K40" s="175" t="s">
        <v>5</v>
      </c>
      <c r="L40" s="400" t="s">
        <v>5</v>
      </c>
      <c r="M40" s="396" t="s">
        <v>5</v>
      </c>
      <c r="N40" s="175" t="s">
        <v>5</v>
      </c>
      <c r="O40" s="400" t="s">
        <v>5</v>
      </c>
      <c r="P40" s="396" t="s">
        <v>5</v>
      </c>
      <c r="Q40" s="175" t="s">
        <v>5</v>
      </c>
      <c r="R40" s="400" t="s">
        <v>5</v>
      </c>
      <c r="S40" s="396" t="s">
        <v>5</v>
      </c>
      <c r="T40" s="196">
        <f>G40*(E40/100)</f>
        <v>2143.8108000000002</v>
      </c>
      <c r="U40" s="19" t="s">
        <v>6</v>
      </c>
      <c r="V40" s="371">
        <v>100</v>
      </c>
      <c r="W40" s="4" t="str">
        <f t="shared" si="0"/>
        <v>A</v>
      </c>
    </row>
    <row r="41" spans="1:23" ht="15" customHeight="1">
      <c r="A41" s="339" t="s">
        <v>73</v>
      </c>
      <c r="B41" s="266">
        <v>1</v>
      </c>
      <c r="C41" s="19" t="s">
        <v>8</v>
      </c>
      <c r="D41" s="303" t="s">
        <v>5</v>
      </c>
      <c r="E41" s="127">
        <f>0.07*100</f>
        <v>7.0000000000000009</v>
      </c>
      <c r="F41" s="145" t="str">
        <f>"["&amp;ROUND(0.423*39400,0)&amp;"]"</f>
        <v>[16666]</v>
      </c>
      <c r="G41" s="146">
        <f>8.07*43300</f>
        <v>349431</v>
      </c>
      <c r="H41" s="175" t="s">
        <v>5</v>
      </c>
      <c r="I41" s="400" t="s">
        <v>5</v>
      </c>
      <c r="J41" s="396" t="s">
        <v>5</v>
      </c>
      <c r="K41" s="175" t="s">
        <v>5</v>
      </c>
      <c r="L41" s="400" t="s">
        <v>5</v>
      </c>
      <c r="M41" s="396" t="s">
        <v>5</v>
      </c>
      <c r="N41" s="175" t="s">
        <v>5</v>
      </c>
      <c r="O41" s="400" t="s">
        <v>5</v>
      </c>
      <c r="P41" s="396" t="s">
        <v>5</v>
      </c>
      <c r="Q41" s="175" t="s">
        <v>5</v>
      </c>
      <c r="R41" s="400" t="s">
        <v>5</v>
      </c>
      <c r="S41" s="396" t="s">
        <v>5</v>
      </c>
      <c r="T41" s="196">
        <f>ROUND(E41*G41/100,-2)</f>
        <v>24500</v>
      </c>
      <c r="U41" s="19" t="s">
        <v>18</v>
      </c>
      <c r="V41" s="406">
        <v>12.5</v>
      </c>
      <c r="W41" s="4" t="str">
        <f t="shared" si="0"/>
        <v>AB</v>
      </c>
    </row>
    <row r="42" spans="1:23" ht="15" customHeight="1">
      <c r="A42" s="235" t="s">
        <v>74</v>
      </c>
      <c r="B42" s="267">
        <v>1</v>
      </c>
      <c r="C42" s="19" t="s">
        <v>8</v>
      </c>
      <c r="D42" s="303" t="s">
        <v>5</v>
      </c>
      <c r="E42" s="127">
        <f>(0.01*100)+H42</f>
        <v>6.0500000000000007</v>
      </c>
      <c r="F42" s="145">
        <v>0</v>
      </c>
      <c r="G42" s="146">
        <v>106800</v>
      </c>
      <c r="H42" s="127">
        <f>0.0505*100</f>
        <v>5.0500000000000007</v>
      </c>
      <c r="I42" s="145">
        <f>G42</f>
        <v>106800</v>
      </c>
      <c r="J42" s="396" t="s">
        <v>5</v>
      </c>
      <c r="K42" s="175" t="s">
        <v>5</v>
      </c>
      <c r="L42" s="400" t="s">
        <v>5</v>
      </c>
      <c r="M42" s="396" t="s">
        <v>5</v>
      </c>
      <c r="N42" s="175" t="s">
        <v>5</v>
      </c>
      <c r="O42" s="400" t="s">
        <v>5</v>
      </c>
      <c r="P42" s="396" t="s">
        <v>5</v>
      </c>
      <c r="Q42" s="175" t="s">
        <v>5</v>
      </c>
      <c r="R42" s="400" t="s">
        <v>5</v>
      </c>
      <c r="S42" s="396" t="s">
        <v>5</v>
      </c>
      <c r="T42" s="199" t="s">
        <v>5</v>
      </c>
      <c r="U42" s="19" t="s">
        <v>6</v>
      </c>
      <c r="V42" s="371">
        <v>100</v>
      </c>
      <c r="W42" s="4" t="str">
        <f t="shared" si="0"/>
        <v>A</v>
      </c>
    </row>
    <row r="43" spans="1:23" s="2" customFormat="1" ht="15" customHeight="1">
      <c r="A43" s="339" t="s">
        <v>55</v>
      </c>
      <c r="B43" s="266">
        <v>1</v>
      </c>
      <c r="C43" s="19" t="s">
        <v>8</v>
      </c>
      <c r="D43" s="302" t="s">
        <v>5</v>
      </c>
      <c r="E43" s="127">
        <v>15</v>
      </c>
      <c r="F43" s="145" t="str">
        <f>"/"&amp;ROUND(5864.4,0)&amp;"/"</f>
        <v>/5864/</v>
      </c>
      <c r="G43" s="146">
        <v>38118.6</v>
      </c>
      <c r="H43" s="175" t="s">
        <v>5</v>
      </c>
      <c r="I43" s="400" t="s">
        <v>5</v>
      </c>
      <c r="J43" s="396" t="s">
        <v>5</v>
      </c>
      <c r="K43" s="175" t="s">
        <v>5</v>
      </c>
      <c r="L43" s="400" t="s">
        <v>5</v>
      </c>
      <c r="M43" s="396" t="s">
        <v>5</v>
      </c>
      <c r="N43" s="175" t="s">
        <v>5</v>
      </c>
      <c r="O43" s="400" t="s">
        <v>5</v>
      </c>
      <c r="P43" s="396" t="s">
        <v>5</v>
      </c>
      <c r="Q43" s="175" t="s">
        <v>5</v>
      </c>
      <c r="R43" s="400" t="s">
        <v>5</v>
      </c>
      <c r="S43" s="396" t="s">
        <v>5</v>
      </c>
      <c r="T43" s="196">
        <f>G43*E43/100</f>
        <v>5717.79</v>
      </c>
      <c r="U43" s="19" t="s">
        <v>6</v>
      </c>
      <c r="V43" s="371">
        <v>100</v>
      </c>
      <c r="W43" s="4" t="str">
        <f t="shared" si="0"/>
        <v>A</v>
      </c>
    </row>
    <row r="44" spans="1:23" ht="15" customHeight="1">
      <c r="A44" s="235" t="s">
        <v>47</v>
      </c>
      <c r="B44" s="267">
        <v>1</v>
      </c>
      <c r="C44" s="19" t="s">
        <v>19</v>
      </c>
      <c r="D44" s="303" t="s">
        <v>5</v>
      </c>
      <c r="E44" s="127">
        <f>0.11*100</f>
        <v>11</v>
      </c>
      <c r="F44" s="114">
        <f>4888/52</f>
        <v>94</v>
      </c>
      <c r="G44" s="115">
        <f>32760/52</f>
        <v>630</v>
      </c>
      <c r="H44" s="127">
        <f>0.01*100</f>
        <v>1</v>
      </c>
      <c r="I44" s="145">
        <f>G44</f>
        <v>630</v>
      </c>
      <c r="J44" s="396" t="s">
        <v>5</v>
      </c>
      <c r="K44" s="120" t="s">
        <v>5</v>
      </c>
      <c r="L44" s="219" t="s">
        <v>5</v>
      </c>
      <c r="M44" s="180" t="s">
        <v>5</v>
      </c>
      <c r="N44" s="120" t="s">
        <v>5</v>
      </c>
      <c r="O44" s="219" t="s">
        <v>5</v>
      </c>
      <c r="P44" s="180" t="s">
        <v>5</v>
      </c>
      <c r="Q44" s="120" t="s">
        <v>5</v>
      </c>
      <c r="R44" s="219" t="s">
        <v>5</v>
      </c>
      <c r="S44" s="180" t="s">
        <v>5</v>
      </c>
      <c r="T44" s="202" t="s">
        <v>61</v>
      </c>
      <c r="U44" s="239" t="s">
        <v>5</v>
      </c>
      <c r="V44" s="372" t="s">
        <v>5</v>
      </c>
      <c r="W44" s="4" t="str">
        <f t="shared" si="0"/>
        <v/>
      </c>
    </row>
    <row r="45" spans="1:23" ht="15" customHeight="1">
      <c r="A45" s="246" t="s">
        <v>20</v>
      </c>
      <c r="B45" s="269">
        <v>1</v>
      </c>
      <c r="C45" s="292" t="s">
        <v>8</v>
      </c>
      <c r="D45" s="311" t="s">
        <v>5</v>
      </c>
      <c r="E45" s="293">
        <f>(0.062*100)+H45</f>
        <v>7.65</v>
      </c>
      <c r="F45" s="147">
        <v>0</v>
      </c>
      <c r="G45" s="148">
        <v>90000</v>
      </c>
      <c r="H45" s="293">
        <f>0.0145*100</f>
        <v>1.4500000000000002</v>
      </c>
      <c r="I45" s="147">
        <f>G45</f>
        <v>90000</v>
      </c>
      <c r="J45" s="158" t="s">
        <v>5</v>
      </c>
      <c r="K45" s="480" t="s">
        <v>5</v>
      </c>
      <c r="L45" s="481" t="s">
        <v>5</v>
      </c>
      <c r="M45" s="158" t="s">
        <v>5</v>
      </c>
      <c r="N45" s="480" t="s">
        <v>5</v>
      </c>
      <c r="O45" s="481" t="s">
        <v>5</v>
      </c>
      <c r="P45" s="158" t="s">
        <v>5</v>
      </c>
      <c r="Q45" s="480" t="s">
        <v>5</v>
      </c>
      <c r="R45" s="481" t="s">
        <v>5</v>
      </c>
      <c r="S45" s="158" t="s">
        <v>5</v>
      </c>
      <c r="T45" s="403" t="s">
        <v>5</v>
      </c>
      <c r="U45" s="249" t="s">
        <v>5</v>
      </c>
      <c r="V45" s="380" t="s">
        <v>5</v>
      </c>
      <c r="W45" s="4" t="str">
        <f t="shared" si="0"/>
        <v/>
      </c>
    </row>
    <row r="46" spans="1:23" ht="15" customHeight="1">
      <c r="A46" s="176"/>
      <c r="B46" s="169"/>
      <c r="C46" s="19"/>
      <c r="D46" s="132"/>
      <c r="E46" s="127"/>
      <c r="F46" s="152"/>
      <c r="G46" s="151"/>
      <c r="H46" s="151"/>
      <c r="I46" s="151"/>
      <c r="J46" s="151"/>
      <c r="K46" s="151"/>
      <c r="L46" s="151"/>
      <c r="M46" s="151"/>
      <c r="N46" s="151"/>
      <c r="O46" s="151"/>
      <c r="P46" s="151"/>
      <c r="Q46" s="151"/>
      <c r="R46" s="151"/>
      <c r="S46" s="151"/>
      <c r="T46" s="157"/>
      <c r="U46" s="54"/>
      <c r="V46" s="55"/>
    </row>
    <row r="47" spans="1:23" s="75" customFormat="1" ht="12.75" customHeight="1">
      <c r="A47" s="553" t="s">
        <v>94</v>
      </c>
      <c r="B47" s="553"/>
      <c r="C47" s="553"/>
      <c r="D47" s="554"/>
      <c r="E47" s="553"/>
      <c r="F47" s="553"/>
      <c r="G47" s="553"/>
      <c r="H47" s="553"/>
      <c r="I47" s="553"/>
      <c r="J47" s="553"/>
      <c r="K47" s="553"/>
      <c r="L47" s="553"/>
      <c r="M47" s="553"/>
      <c r="N47" s="553"/>
      <c r="O47" s="553"/>
      <c r="P47" s="553"/>
      <c r="Q47" s="553"/>
      <c r="R47" s="553"/>
      <c r="S47" s="553"/>
      <c r="T47" s="555"/>
      <c r="U47" s="556"/>
      <c r="V47" s="556"/>
    </row>
    <row r="48" spans="1:23" s="76" customFormat="1" ht="12.75" customHeight="1">
      <c r="A48" s="539" t="s">
        <v>95</v>
      </c>
      <c r="B48" s="539"/>
      <c r="C48" s="539"/>
      <c r="D48" s="550"/>
      <c r="E48" s="550"/>
      <c r="F48" s="550"/>
      <c r="G48" s="550"/>
      <c r="H48" s="550"/>
      <c r="I48" s="550"/>
      <c r="J48" s="550"/>
      <c r="K48" s="550"/>
      <c r="L48" s="550"/>
      <c r="M48" s="550"/>
      <c r="N48" s="550"/>
      <c r="O48" s="550"/>
      <c r="P48" s="550"/>
      <c r="Q48" s="550"/>
      <c r="R48" s="550"/>
      <c r="S48" s="550"/>
      <c r="T48" s="550"/>
      <c r="U48" s="551"/>
      <c r="V48" s="551"/>
    </row>
    <row r="49" spans="1:33" s="76" customFormat="1" ht="12.75" customHeight="1">
      <c r="A49" s="539" t="s">
        <v>107</v>
      </c>
      <c r="B49" s="539"/>
      <c r="C49" s="539"/>
      <c r="D49" s="550"/>
      <c r="E49" s="550"/>
      <c r="F49" s="550"/>
      <c r="G49" s="550"/>
      <c r="H49" s="550"/>
      <c r="I49" s="550"/>
      <c r="J49" s="550"/>
      <c r="K49" s="550"/>
      <c r="L49" s="550"/>
      <c r="M49" s="550"/>
      <c r="N49" s="550"/>
      <c r="O49" s="550"/>
      <c r="P49" s="550"/>
      <c r="Q49" s="550"/>
      <c r="R49" s="550"/>
      <c r="S49" s="550"/>
      <c r="T49" s="550"/>
      <c r="U49" s="551"/>
      <c r="V49" s="551"/>
    </row>
    <row r="50" spans="1:33" s="76" customFormat="1" ht="12.75" customHeight="1">
      <c r="A50" s="539" t="s">
        <v>108</v>
      </c>
      <c r="B50" s="539"/>
      <c r="C50" s="539"/>
      <c r="D50" s="550"/>
      <c r="E50" s="550"/>
      <c r="F50" s="550"/>
      <c r="G50" s="550"/>
      <c r="H50" s="550"/>
      <c r="I50" s="550"/>
      <c r="J50" s="550"/>
      <c r="K50" s="550"/>
      <c r="L50" s="550"/>
      <c r="M50" s="550"/>
      <c r="N50" s="550"/>
      <c r="O50" s="550"/>
      <c r="P50" s="550"/>
      <c r="Q50" s="550"/>
      <c r="R50" s="550"/>
      <c r="S50" s="550"/>
      <c r="T50" s="550"/>
      <c r="U50" s="551"/>
      <c r="V50" s="551"/>
    </row>
    <row r="51" spans="1:33" s="76" customFormat="1" ht="12.75" customHeight="1">
      <c r="A51" s="516" t="s">
        <v>1</v>
      </c>
      <c r="B51" s="84" t="s">
        <v>122</v>
      </c>
      <c r="C51" s="509" t="s">
        <v>123</v>
      </c>
      <c r="D51" s="103"/>
      <c r="E51" s="103"/>
      <c r="F51" s="104"/>
      <c r="U51" s="99"/>
      <c r="V51" s="99"/>
    </row>
    <row r="52" spans="1:33" s="76" customFormat="1" ht="12.75" customHeight="1">
      <c r="A52" s="517"/>
      <c r="B52" s="85" t="s">
        <v>124</v>
      </c>
      <c r="C52" s="510" t="s">
        <v>126</v>
      </c>
      <c r="D52" s="105"/>
      <c r="E52" s="105"/>
      <c r="F52" s="106"/>
      <c r="U52" s="83"/>
      <c r="V52" s="83"/>
    </row>
    <row r="53" spans="1:33" s="76" customFormat="1" ht="12.75" customHeight="1">
      <c r="A53" s="517"/>
      <c r="B53" s="86" t="s">
        <v>125</v>
      </c>
      <c r="C53" s="511" t="s">
        <v>136</v>
      </c>
      <c r="D53" s="107"/>
      <c r="E53" s="107"/>
      <c r="F53" s="108"/>
      <c r="U53" s="83"/>
      <c r="V53" s="83"/>
    </row>
    <row r="54" spans="1:33" s="76" customFormat="1" ht="12.75" customHeight="1">
      <c r="A54" s="517"/>
      <c r="C54" s="78"/>
      <c r="D54" s="93"/>
      <c r="E54" s="93"/>
      <c r="F54" s="93"/>
      <c r="U54" s="83"/>
      <c r="V54" s="83"/>
    </row>
    <row r="55" spans="1:33" s="76" customFormat="1" ht="12.75" customHeight="1">
      <c r="A55" s="518" t="s">
        <v>127</v>
      </c>
      <c r="B55" s="84" t="s">
        <v>128</v>
      </c>
      <c r="C55" s="509" t="s">
        <v>129</v>
      </c>
      <c r="D55" s="103"/>
      <c r="E55" s="103"/>
      <c r="F55" s="104"/>
      <c r="U55" s="99"/>
      <c r="V55" s="99"/>
    </row>
    <row r="56" spans="1:33" s="76" customFormat="1" ht="12.75" customHeight="1">
      <c r="A56" s="517"/>
      <c r="B56" s="85" t="s">
        <v>130</v>
      </c>
      <c r="C56" s="510" t="s">
        <v>133</v>
      </c>
      <c r="D56" s="105"/>
      <c r="E56" s="105"/>
      <c r="F56" s="106"/>
      <c r="U56" s="83"/>
      <c r="V56" s="83"/>
    </row>
    <row r="57" spans="1:33" s="76" customFormat="1" ht="12.75" customHeight="1">
      <c r="A57" s="517"/>
      <c r="B57" s="85" t="s">
        <v>131</v>
      </c>
      <c r="C57" s="510" t="s">
        <v>132</v>
      </c>
      <c r="D57" s="105"/>
      <c r="E57" s="105"/>
      <c r="F57" s="106"/>
      <c r="U57" s="83"/>
      <c r="V57" s="83"/>
    </row>
    <row r="58" spans="1:33" s="76" customFormat="1" ht="12.75" customHeight="1">
      <c r="A58" s="517"/>
      <c r="B58" s="85" t="s">
        <v>134</v>
      </c>
      <c r="C58" s="510" t="s">
        <v>135</v>
      </c>
      <c r="D58" s="105"/>
      <c r="E58" s="105"/>
      <c r="F58" s="106"/>
      <c r="U58" s="83"/>
      <c r="V58" s="83"/>
    </row>
    <row r="59" spans="1:33" s="76" customFormat="1" ht="12.75" customHeight="1">
      <c r="A59" s="519"/>
      <c r="B59" s="86" t="s">
        <v>28</v>
      </c>
      <c r="C59" s="511" t="s">
        <v>214</v>
      </c>
      <c r="D59" s="109"/>
      <c r="E59" s="109"/>
      <c r="F59" s="110"/>
      <c r="U59" s="83"/>
      <c r="V59" s="83"/>
    </row>
    <row r="60" spans="1:33" s="76" customFormat="1" ht="12.75" customHeight="1">
      <c r="A60" s="520"/>
      <c r="B60" s="78"/>
      <c r="C60" s="78"/>
      <c r="D60" s="83"/>
      <c r="F60" s="83"/>
      <c r="G60" s="83"/>
      <c r="H60" s="83"/>
      <c r="I60" s="83"/>
      <c r="J60" s="83"/>
      <c r="K60" s="83"/>
      <c r="L60" s="83"/>
      <c r="M60" s="83"/>
      <c r="N60" s="83"/>
      <c r="O60" s="83"/>
      <c r="P60" s="83"/>
      <c r="Q60" s="83"/>
      <c r="R60" s="83"/>
      <c r="S60" s="83"/>
      <c r="T60" s="83"/>
      <c r="U60" s="83"/>
      <c r="V60" s="83"/>
    </row>
    <row r="61" spans="1:33" s="76" customFormat="1">
      <c r="A61" s="540" t="s">
        <v>96</v>
      </c>
      <c r="B61" s="540"/>
      <c r="C61" s="540"/>
      <c r="D61" s="540"/>
      <c r="E61" s="540"/>
      <c r="F61" s="540"/>
      <c r="G61" s="540"/>
      <c r="H61" s="540"/>
      <c r="I61" s="540"/>
      <c r="J61" s="540"/>
      <c r="K61" s="540"/>
      <c r="L61" s="540"/>
      <c r="M61" s="540"/>
      <c r="N61" s="540"/>
      <c r="O61" s="540"/>
      <c r="P61" s="540"/>
      <c r="Q61" s="540"/>
      <c r="R61" s="540"/>
      <c r="S61" s="540"/>
      <c r="T61" s="540"/>
      <c r="U61" s="540"/>
      <c r="V61" s="540"/>
    </row>
    <row r="62" spans="1:33" s="76" customFormat="1">
      <c r="A62" s="539" t="s">
        <v>97</v>
      </c>
      <c r="B62" s="539"/>
      <c r="C62" s="539"/>
      <c r="D62" s="539"/>
      <c r="E62" s="539"/>
      <c r="F62" s="539"/>
      <c r="G62" s="539"/>
      <c r="H62" s="539"/>
      <c r="I62" s="539"/>
      <c r="J62" s="539"/>
      <c r="K62" s="539"/>
      <c r="L62" s="539"/>
      <c r="M62" s="539"/>
      <c r="N62" s="539"/>
      <c r="O62" s="539"/>
      <c r="P62" s="539"/>
      <c r="Q62" s="539"/>
      <c r="R62" s="539"/>
      <c r="S62" s="539"/>
      <c r="T62" s="539"/>
      <c r="U62" s="539"/>
      <c r="V62" s="539"/>
    </row>
    <row r="63" spans="1:33" s="76" customFormat="1" ht="22.5" customHeight="1">
      <c r="A63" s="521" t="s">
        <v>98</v>
      </c>
      <c r="B63" s="177"/>
      <c r="C63" s="512"/>
      <c r="D63" s="177"/>
      <c r="E63" s="177"/>
      <c r="F63" s="177"/>
      <c r="G63" s="177"/>
      <c r="H63" s="177"/>
      <c r="I63" s="177"/>
      <c r="J63" s="177"/>
      <c r="K63" s="177"/>
      <c r="L63" s="177"/>
      <c r="M63" s="177"/>
      <c r="N63" s="177"/>
      <c r="O63" s="177"/>
      <c r="P63" s="177"/>
      <c r="Q63" s="177"/>
      <c r="R63" s="177"/>
      <c r="S63" s="177"/>
      <c r="T63" s="177"/>
      <c r="U63" s="177"/>
      <c r="V63" s="177"/>
    </row>
    <row r="64" spans="1:33" s="76" customFormat="1" ht="50.25" customHeight="1">
      <c r="A64" s="539" t="s">
        <v>238</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22.5" customHeight="1">
      <c r="A65" s="539" t="s">
        <v>226</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35.25" customHeight="1">
      <c r="A66" s="539" t="s">
        <v>227</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65.25" customHeight="1">
      <c r="A67" s="539" t="s">
        <v>228</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132" customHeight="1">
      <c r="A68" s="539" t="s">
        <v>229</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50.25" customHeight="1">
      <c r="A69" s="539" t="s">
        <v>230</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ht="22.5" customHeight="1">
      <c r="A71" s="543" t="s">
        <v>270</v>
      </c>
      <c r="B71" s="543"/>
      <c r="C71" s="543"/>
      <c r="D71" s="543"/>
      <c r="E71" s="543"/>
      <c r="F71" s="543"/>
      <c r="G71" s="543"/>
      <c r="H71" s="543"/>
      <c r="I71" s="543"/>
      <c r="J71" s="543"/>
      <c r="K71" s="543"/>
      <c r="L71" s="543"/>
      <c r="M71" s="543"/>
      <c r="N71" s="543"/>
      <c r="O71" s="543"/>
      <c r="P71" s="543"/>
      <c r="Q71" s="543"/>
      <c r="R71" s="543"/>
      <c r="S71" s="543"/>
      <c r="T71" s="543"/>
      <c r="U71" s="543"/>
      <c r="V71" s="543"/>
    </row>
    <row r="72" spans="1:33" ht="22.5" customHeight="1">
      <c r="A72" s="543" t="s">
        <v>137</v>
      </c>
      <c r="B72" s="543"/>
      <c r="C72" s="543"/>
      <c r="D72" s="543"/>
      <c r="E72" s="543"/>
      <c r="F72" s="543"/>
      <c r="G72" s="543"/>
      <c r="H72" s="543"/>
      <c r="I72" s="543"/>
      <c r="J72" s="543"/>
      <c r="K72" s="543"/>
      <c r="L72" s="543"/>
      <c r="M72" s="543"/>
      <c r="N72" s="543"/>
      <c r="O72" s="543"/>
      <c r="P72" s="543"/>
      <c r="Q72" s="543"/>
      <c r="R72" s="543"/>
      <c r="S72" s="543"/>
      <c r="T72" s="543"/>
      <c r="U72" s="543"/>
      <c r="V72" s="543"/>
    </row>
    <row r="73" spans="1:33" ht="27.75" customHeight="1">
      <c r="A73" s="543" t="s">
        <v>138</v>
      </c>
      <c r="B73" s="543"/>
      <c r="C73" s="543"/>
      <c r="D73" s="543"/>
      <c r="E73" s="543"/>
      <c r="F73" s="543"/>
      <c r="G73" s="543"/>
      <c r="H73" s="543"/>
      <c r="I73" s="543"/>
      <c r="J73" s="543"/>
      <c r="K73" s="543"/>
      <c r="L73" s="543"/>
      <c r="M73" s="543"/>
      <c r="N73" s="543"/>
      <c r="O73" s="543"/>
      <c r="P73" s="543"/>
      <c r="Q73" s="543"/>
      <c r="R73" s="543"/>
      <c r="S73" s="543"/>
      <c r="T73" s="543"/>
      <c r="U73" s="543"/>
      <c r="V73" s="543"/>
    </row>
    <row r="74" spans="1:33" ht="27.75" customHeight="1">
      <c r="A74" s="543" t="s">
        <v>139</v>
      </c>
      <c r="B74" s="543"/>
      <c r="C74" s="543"/>
      <c r="D74" s="543"/>
      <c r="E74" s="543"/>
      <c r="F74" s="543"/>
      <c r="G74" s="543"/>
      <c r="H74" s="543"/>
      <c r="I74" s="543"/>
      <c r="J74" s="543"/>
      <c r="K74" s="543"/>
      <c r="L74" s="543"/>
      <c r="M74" s="543"/>
      <c r="N74" s="543"/>
      <c r="O74" s="543"/>
      <c r="P74" s="543"/>
      <c r="Q74" s="543"/>
      <c r="R74" s="543"/>
      <c r="S74" s="543"/>
      <c r="T74" s="543"/>
      <c r="U74" s="543"/>
      <c r="V74" s="543"/>
    </row>
    <row r="75" spans="1:33" ht="22.5" customHeight="1">
      <c r="A75" s="543" t="s">
        <v>140</v>
      </c>
      <c r="B75" s="543"/>
      <c r="C75" s="543"/>
      <c r="D75" s="543"/>
      <c r="E75" s="543"/>
      <c r="F75" s="543"/>
      <c r="G75" s="543"/>
      <c r="H75" s="543"/>
      <c r="I75" s="543"/>
      <c r="J75" s="543"/>
      <c r="K75" s="543"/>
      <c r="L75" s="543"/>
      <c r="M75" s="543"/>
      <c r="N75" s="543"/>
      <c r="O75" s="543"/>
      <c r="P75" s="543"/>
      <c r="Q75" s="543"/>
      <c r="R75" s="543"/>
      <c r="S75" s="543"/>
      <c r="T75" s="543"/>
      <c r="U75" s="543"/>
      <c r="V75" s="543"/>
    </row>
    <row r="76" spans="1:33" ht="31.5" customHeight="1">
      <c r="A76" s="543" t="s">
        <v>224</v>
      </c>
      <c r="B76" s="543"/>
      <c r="C76" s="543"/>
      <c r="D76" s="543"/>
      <c r="E76" s="543"/>
      <c r="F76" s="543"/>
      <c r="G76" s="543"/>
      <c r="H76" s="543"/>
      <c r="I76" s="543"/>
      <c r="J76" s="543"/>
      <c r="K76" s="543"/>
      <c r="L76" s="543"/>
      <c r="M76" s="543"/>
      <c r="N76" s="543"/>
      <c r="O76" s="543"/>
      <c r="P76" s="543"/>
      <c r="Q76" s="543"/>
      <c r="R76" s="543"/>
      <c r="S76" s="543"/>
      <c r="T76" s="543"/>
      <c r="U76" s="543"/>
      <c r="V76" s="543"/>
    </row>
    <row r="77" spans="1:33" ht="30" customHeight="1">
      <c r="A77" s="543" t="s">
        <v>241</v>
      </c>
      <c r="B77" s="543"/>
      <c r="C77" s="543"/>
      <c r="D77" s="543"/>
      <c r="E77" s="543"/>
      <c r="F77" s="543"/>
      <c r="G77" s="543"/>
      <c r="H77" s="543"/>
      <c r="I77" s="543"/>
      <c r="J77" s="543"/>
      <c r="K77" s="543"/>
      <c r="L77" s="543"/>
      <c r="M77" s="543"/>
      <c r="N77" s="543"/>
      <c r="O77" s="543"/>
      <c r="P77" s="543"/>
      <c r="Q77" s="543"/>
      <c r="R77" s="543"/>
      <c r="S77" s="543"/>
      <c r="T77" s="543"/>
      <c r="U77" s="543"/>
      <c r="V77" s="543"/>
    </row>
    <row r="78" spans="1:33" ht="45" customHeight="1">
      <c r="A78" s="543" t="s">
        <v>141</v>
      </c>
      <c r="B78" s="543"/>
      <c r="C78" s="543"/>
      <c r="D78" s="543"/>
      <c r="E78" s="543"/>
      <c r="F78" s="543"/>
      <c r="G78" s="543"/>
      <c r="H78" s="543"/>
      <c r="I78" s="543"/>
      <c r="J78" s="543"/>
      <c r="K78" s="543"/>
      <c r="L78" s="543"/>
      <c r="M78" s="543"/>
      <c r="N78" s="543"/>
      <c r="O78" s="543"/>
      <c r="P78" s="543"/>
      <c r="Q78" s="543"/>
      <c r="R78" s="543"/>
      <c r="S78" s="543"/>
      <c r="T78" s="543"/>
      <c r="U78" s="543"/>
      <c r="V78" s="543"/>
    </row>
    <row r="79" spans="1:33" ht="63" customHeight="1">
      <c r="A79" s="543" t="s">
        <v>170</v>
      </c>
      <c r="B79" s="543"/>
      <c r="C79" s="543"/>
      <c r="D79" s="543"/>
      <c r="E79" s="543"/>
      <c r="F79" s="543"/>
      <c r="G79" s="543"/>
      <c r="H79" s="543"/>
      <c r="I79" s="543"/>
      <c r="J79" s="543"/>
      <c r="K79" s="543"/>
      <c r="L79" s="543"/>
      <c r="M79" s="543"/>
      <c r="N79" s="543"/>
      <c r="O79" s="543"/>
      <c r="P79" s="543"/>
      <c r="Q79" s="543"/>
      <c r="R79" s="543"/>
      <c r="S79" s="543"/>
      <c r="T79" s="543"/>
      <c r="U79" s="543"/>
      <c r="V79" s="543"/>
    </row>
    <row r="80" spans="1:33" ht="22.5" customHeight="1">
      <c r="A80" s="543" t="s">
        <v>171</v>
      </c>
      <c r="B80" s="543"/>
      <c r="C80" s="543"/>
      <c r="D80" s="543"/>
      <c r="E80" s="543"/>
      <c r="F80" s="543"/>
      <c r="G80" s="543"/>
      <c r="H80" s="543"/>
      <c r="I80" s="543"/>
      <c r="J80" s="543"/>
      <c r="K80" s="543"/>
      <c r="L80" s="543"/>
      <c r="M80" s="543"/>
      <c r="N80" s="543"/>
      <c r="O80" s="543"/>
      <c r="P80" s="543"/>
      <c r="Q80" s="543"/>
      <c r="R80" s="543"/>
      <c r="S80" s="543"/>
      <c r="T80" s="543"/>
      <c r="U80" s="543"/>
      <c r="V80" s="543"/>
    </row>
    <row r="81" spans="1:22" ht="46.5" customHeight="1">
      <c r="A81" s="543" t="s">
        <v>172</v>
      </c>
      <c r="B81" s="543"/>
      <c r="C81" s="543"/>
      <c r="D81" s="543"/>
      <c r="E81" s="543"/>
      <c r="F81" s="543"/>
      <c r="G81" s="543"/>
      <c r="H81" s="543"/>
      <c r="I81" s="543"/>
      <c r="J81" s="543"/>
      <c r="K81" s="543"/>
      <c r="L81" s="543"/>
      <c r="M81" s="543"/>
      <c r="N81" s="543"/>
      <c r="O81" s="543"/>
      <c r="P81" s="543"/>
      <c r="Q81" s="543"/>
      <c r="R81" s="543"/>
      <c r="S81" s="543"/>
      <c r="T81" s="543"/>
      <c r="U81" s="543"/>
      <c r="V81" s="543"/>
    </row>
    <row r="82" spans="1:22" ht="22.5" customHeight="1">
      <c r="A82" s="543" t="s">
        <v>173</v>
      </c>
      <c r="B82" s="543"/>
      <c r="C82" s="543"/>
      <c r="D82" s="543"/>
      <c r="E82" s="543"/>
      <c r="F82" s="543"/>
      <c r="G82" s="543"/>
      <c r="H82" s="543"/>
      <c r="I82" s="543"/>
      <c r="J82" s="543"/>
      <c r="K82" s="543"/>
      <c r="L82" s="543"/>
      <c r="M82" s="543"/>
      <c r="N82" s="543"/>
      <c r="O82" s="543"/>
      <c r="P82" s="543"/>
      <c r="Q82" s="543"/>
      <c r="R82" s="543"/>
      <c r="S82" s="543"/>
      <c r="T82" s="543"/>
      <c r="U82" s="543"/>
      <c r="V82" s="543"/>
    </row>
    <row r="83" spans="1:22" ht="36" customHeight="1">
      <c r="A83" s="543" t="s">
        <v>174</v>
      </c>
      <c r="B83" s="543"/>
      <c r="C83" s="543"/>
      <c r="D83" s="543"/>
      <c r="E83" s="543"/>
      <c r="F83" s="543"/>
      <c r="G83" s="543"/>
      <c r="H83" s="543"/>
      <c r="I83" s="543"/>
      <c r="J83" s="543"/>
      <c r="K83" s="543"/>
      <c r="L83" s="543"/>
      <c r="M83" s="543"/>
      <c r="N83" s="543"/>
      <c r="O83" s="543"/>
      <c r="P83" s="543"/>
      <c r="Q83" s="543"/>
      <c r="R83" s="543"/>
      <c r="S83" s="543"/>
      <c r="T83" s="543"/>
      <c r="U83" s="543"/>
      <c r="V83" s="543"/>
    </row>
    <row r="84" spans="1:22" ht="22.5" customHeight="1">
      <c r="A84" s="543" t="s">
        <v>223</v>
      </c>
      <c r="B84" s="543"/>
      <c r="C84" s="543"/>
      <c r="D84" s="543"/>
      <c r="E84" s="543"/>
      <c r="F84" s="543"/>
      <c r="G84" s="543"/>
      <c r="H84" s="543"/>
      <c r="I84" s="543"/>
      <c r="J84" s="543"/>
      <c r="K84" s="543"/>
      <c r="L84" s="543"/>
      <c r="M84" s="543"/>
      <c r="N84" s="543"/>
      <c r="O84" s="543"/>
      <c r="P84" s="543"/>
      <c r="Q84" s="543"/>
      <c r="R84" s="543"/>
      <c r="S84" s="543"/>
      <c r="T84" s="543"/>
      <c r="U84" s="543"/>
      <c r="V84" s="543"/>
    </row>
    <row r="85" spans="1:22" ht="22.5" customHeight="1">
      <c r="A85" s="543" t="s">
        <v>175</v>
      </c>
      <c r="B85" s="543"/>
      <c r="C85" s="543"/>
      <c r="D85" s="543"/>
      <c r="E85" s="543"/>
      <c r="F85" s="543"/>
      <c r="G85" s="543"/>
      <c r="H85" s="543"/>
      <c r="I85" s="543"/>
      <c r="J85" s="543"/>
      <c r="K85" s="543"/>
      <c r="L85" s="543"/>
      <c r="M85" s="543"/>
      <c r="N85" s="543"/>
      <c r="O85" s="543"/>
      <c r="P85" s="543"/>
      <c r="Q85" s="543"/>
      <c r="R85" s="543"/>
      <c r="S85" s="543"/>
      <c r="T85" s="543"/>
      <c r="U85" s="543"/>
      <c r="V85" s="543"/>
    </row>
    <row r="86" spans="1:22" ht="22.5" customHeight="1">
      <c r="A86" s="543" t="s">
        <v>157</v>
      </c>
      <c r="B86" s="543"/>
      <c r="C86" s="543"/>
      <c r="D86" s="543"/>
      <c r="E86" s="543"/>
      <c r="F86" s="543"/>
      <c r="G86" s="543"/>
      <c r="H86" s="543"/>
      <c r="I86" s="543"/>
      <c r="J86" s="543"/>
      <c r="K86" s="543"/>
      <c r="L86" s="543"/>
      <c r="M86" s="543"/>
      <c r="N86" s="543"/>
      <c r="O86" s="543"/>
      <c r="P86" s="543"/>
      <c r="Q86" s="543"/>
      <c r="R86" s="543"/>
      <c r="S86" s="543"/>
      <c r="T86" s="543"/>
      <c r="U86" s="543"/>
      <c r="V86" s="543"/>
    </row>
    <row r="87" spans="1:22" ht="22.5" customHeight="1">
      <c r="A87" s="525" t="s">
        <v>102</v>
      </c>
      <c r="B87" s="173"/>
      <c r="C87" s="78"/>
      <c r="D87" s="98"/>
      <c r="E87" s="76"/>
      <c r="F87" s="76"/>
      <c r="G87" s="76"/>
      <c r="H87" s="76"/>
      <c r="I87" s="76"/>
      <c r="J87" s="76"/>
      <c r="K87" s="76"/>
      <c r="L87" s="76"/>
      <c r="M87" s="76"/>
      <c r="N87" s="76"/>
      <c r="O87" s="76"/>
      <c r="P87" s="76"/>
      <c r="Q87" s="76"/>
      <c r="R87" s="76"/>
      <c r="S87" s="76"/>
      <c r="T87" s="97"/>
      <c r="U87" s="76"/>
      <c r="V87" s="94"/>
    </row>
    <row r="88" spans="1:22" ht="22.5" customHeight="1">
      <c r="A88" s="543" t="s">
        <v>100</v>
      </c>
      <c r="B88" s="543"/>
      <c r="C88" s="543"/>
      <c r="D88" s="543"/>
      <c r="E88" s="543"/>
      <c r="F88" s="543"/>
      <c r="G88" s="543"/>
      <c r="H88" s="543"/>
      <c r="I88" s="543"/>
      <c r="J88" s="543"/>
      <c r="K88" s="543"/>
      <c r="L88" s="543"/>
      <c r="M88" s="543"/>
      <c r="N88" s="543"/>
      <c r="O88" s="543"/>
      <c r="P88" s="543"/>
      <c r="Q88" s="543"/>
      <c r="R88" s="543"/>
      <c r="S88" s="543"/>
      <c r="T88" s="543"/>
      <c r="U88" s="543"/>
      <c r="V88" s="543"/>
    </row>
    <row r="89" spans="1:22" ht="34.5" customHeight="1">
      <c r="A89" s="544" t="s">
        <v>148</v>
      </c>
      <c r="B89" s="544"/>
      <c r="C89" s="544"/>
      <c r="D89" s="544"/>
      <c r="E89" s="544"/>
      <c r="F89" s="544"/>
      <c r="G89" s="544"/>
      <c r="H89" s="544"/>
      <c r="I89" s="544"/>
      <c r="J89" s="544"/>
      <c r="K89" s="544"/>
      <c r="L89" s="544"/>
      <c r="M89" s="544"/>
      <c r="N89" s="544"/>
      <c r="O89" s="544"/>
      <c r="P89" s="544"/>
      <c r="Q89" s="544"/>
      <c r="R89" s="544"/>
      <c r="S89" s="544"/>
      <c r="T89" s="544"/>
      <c r="U89" s="544"/>
      <c r="V89" s="544"/>
    </row>
    <row r="90" spans="1:22" ht="22.5" customHeight="1">
      <c r="A90" s="543" t="s">
        <v>149</v>
      </c>
      <c r="B90" s="543"/>
      <c r="C90" s="543"/>
      <c r="D90" s="543"/>
      <c r="E90" s="543"/>
      <c r="F90" s="543"/>
      <c r="G90" s="543"/>
      <c r="H90" s="543"/>
      <c r="I90" s="543"/>
      <c r="J90" s="543"/>
      <c r="K90" s="543"/>
      <c r="L90" s="543"/>
      <c r="M90" s="543"/>
      <c r="N90" s="543"/>
      <c r="O90" s="543"/>
      <c r="P90" s="543"/>
      <c r="Q90" s="543"/>
      <c r="R90" s="543"/>
      <c r="S90" s="543"/>
      <c r="T90" s="543"/>
      <c r="U90" s="543"/>
      <c r="V90" s="543"/>
    </row>
    <row r="91" spans="1:22" ht="61.5" customHeight="1">
      <c r="A91" s="544" t="s">
        <v>101</v>
      </c>
      <c r="B91" s="544"/>
      <c r="C91" s="544"/>
      <c r="D91" s="544"/>
      <c r="E91" s="544"/>
      <c r="F91" s="544"/>
      <c r="G91" s="544"/>
      <c r="H91" s="544"/>
      <c r="I91" s="544"/>
      <c r="J91" s="544"/>
      <c r="K91" s="544"/>
      <c r="L91" s="544"/>
      <c r="M91" s="544"/>
      <c r="N91" s="544"/>
      <c r="O91" s="544"/>
      <c r="P91" s="544"/>
      <c r="Q91" s="544"/>
      <c r="R91" s="544"/>
      <c r="S91" s="544"/>
      <c r="T91" s="544"/>
      <c r="U91" s="544"/>
      <c r="V91" s="544"/>
    </row>
  </sheetData>
  <mergeCells count="38">
    <mergeCell ref="A47:V47"/>
    <mergeCell ref="A48:V48"/>
    <mergeCell ref="A49:V49"/>
    <mergeCell ref="A50:V50"/>
    <mergeCell ref="A70:V70"/>
    <mergeCell ref="A71:V71"/>
    <mergeCell ref="A61:V61"/>
    <mergeCell ref="A62:V62"/>
    <mergeCell ref="A64:V64"/>
    <mergeCell ref="A65:V65"/>
    <mergeCell ref="A66:V66"/>
    <mergeCell ref="A67:V67"/>
    <mergeCell ref="A68:V68"/>
    <mergeCell ref="A69:V69"/>
    <mergeCell ref="A72:V72"/>
    <mergeCell ref="A73:V73"/>
    <mergeCell ref="A74:V74"/>
    <mergeCell ref="A75:V75"/>
    <mergeCell ref="A76:V76"/>
    <mergeCell ref="A77:V77"/>
    <mergeCell ref="A78:V78"/>
    <mergeCell ref="A79:V79"/>
    <mergeCell ref="A80:V80"/>
    <mergeCell ref="A81:V81"/>
    <mergeCell ref="A82:V82"/>
    <mergeCell ref="A88:V88"/>
    <mergeCell ref="A89:V89"/>
    <mergeCell ref="A90:V90"/>
    <mergeCell ref="A91:V91"/>
    <mergeCell ref="A83:V83"/>
    <mergeCell ref="A84:V84"/>
    <mergeCell ref="A85:V85"/>
    <mergeCell ref="A86:V86"/>
    <mergeCell ref="F3:G3"/>
    <mergeCell ref="I3:J3"/>
    <mergeCell ref="L3:M3"/>
    <mergeCell ref="O3:P3"/>
    <mergeCell ref="R3:S3"/>
  </mergeCells>
  <phoneticPr fontId="5" type="noConversion"/>
  <pageMargins left="0.75" right="0.75" top="1" bottom="1" header="0.5" footer="0.5"/>
  <pageSetup paperSize="9"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G89"/>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31" customWidth="1"/>
    <col min="5" max="5" width="8.7109375" style="2" customWidth="1"/>
    <col min="6" max="7" width="12.7109375" style="2" customWidth="1"/>
    <col min="8" max="8" width="8.7109375" style="2" customWidth="1"/>
    <col min="9" max="10" width="12.7109375" style="2" customWidth="1"/>
    <col min="11" max="11" width="8.7109375" style="2" customWidth="1"/>
    <col min="12" max="13" width="12.7109375" style="2" customWidth="1"/>
    <col min="14" max="14" width="8.7109375" style="2" customWidth="1"/>
    <col min="15" max="16" width="12.7109375" style="2" customWidth="1"/>
    <col min="17" max="17" width="8.7109375" style="2" customWidth="1"/>
    <col min="18" max="19" width="12.7109375" style="2" customWidth="1"/>
    <col min="20" max="20" width="12.7109375" style="11" customWidth="1"/>
    <col min="21" max="21" width="7.140625" style="2" bestFit="1" customWidth="1"/>
    <col min="22" max="22" width="15.42578125" style="13" customWidth="1"/>
    <col min="23" max="23" width="12.7109375" style="4" hidden="1" customWidth="1"/>
    <col min="24" max="29" width="12.7109375" style="4" customWidth="1"/>
    <col min="30" max="16384" width="9.140625" style="4"/>
  </cols>
  <sheetData>
    <row r="1" spans="1:23" s="43" customFormat="1" ht="30" customHeight="1">
      <c r="A1" s="514" t="s">
        <v>31</v>
      </c>
      <c r="B1" s="102"/>
      <c r="C1" s="508"/>
      <c r="D1" s="50"/>
      <c r="E1" s="45"/>
      <c r="F1" s="45"/>
      <c r="G1" s="45"/>
      <c r="H1" s="45"/>
      <c r="I1" s="45"/>
      <c r="J1" s="45"/>
      <c r="K1" s="45"/>
      <c r="L1" s="45"/>
      <c r="M1" s="45"/>
      <c r="N1" s="45"/>
      <c r="O1" s="45"/>
      <c r="P1" s="45"/>
      <c r="Q1" s="45"/>
      <c r="R1" s="45"/>
      <c r="S1" s="45"/>
      <c r="T1" s="49"/>
      <c r="U1" s="45"/>
      <c r="V1" s="51"/>
    </row>
    <row r="2" spans="1:23" s="43" customFormat="1" ht="30" customHeight="1">
      <c r="A2" s="514" t="s">
        <v>103</v>
      </c>
      <c r="B2" s="102"/>
      <c r="C2" s="508"/>
      <c r="D2" s="50"/>
      <c r="E2" s="45"/>
      <c r="F2" s="45"/>
      <c r="G2" s="45"/>
      <c r="H2" s="45"/>
      <c r="I2" s="45"/>
      <c r="J2" s="45"/>
      <c r="K2" s="45"/>
      <c r="L2" s="45"/>
      <c r="M2" s="45"/>
      <c r="N2" s="45"/>
      <c r="O2" s="45"/>
      <c r="P2" s="45"/>
      <c r="Q2" s="45"/>
      <c r="R2" s="45"/>
      <c r="S2" s="45"/>
      <c r="T2" s="49"/>
      <c r="U2" s="45"/>
      <c r="V2" s="51"/>
    </row>
    <row r="3" spans="1:23" s="43" customFormat="1" ht="30" customHeight="1">
      <c r="A3" s="514"/>
      <c r="B3" s="102"/>
      <c r="C3" s="508"/>
      <c r="D3" s="50"/>
      <c r="E3" s="45"/>
      <c r="F3" s="546" t="s">
        <v>248</v>
      </c>
      <c r="G3" s="547"/>
      <c r="H3" s="45"/>
      <c r="I3" s="546" t="s">
        <v>248</v>
      </c>
      <c r="J3" s="547"/>
      <c r="K3" s="45"/>
      <c r="L3" s="546" t="s">
        <v>248</v>
      </c>
      <c r="M3" s="547"/>
      <c r="N3" s="45"/>
      <c r="O3" s="546" t="s">
        <v>248</v>
      </c>
      <c r="P3" s="547"/>
      <c r="Q3" s="45"/>
      <c r="R3" s="546" t="s">
        <v>248</v>
      </c>
      <c r="S3" s="547"/>
      <c r="T3" s="49"/>
      <c r="U3" s="45"/>
      <c r="V3" s="51"/>
    </row>
    <row r="4" spans="1:23"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44" t="s">
        <v>33</v>
      </c>
      <c r="B5" s="381">
        <v>0</v>
      </c>
      <c r="C5" s="270" t="s">
        <v>250</v>
      </c>
      <c r="D5" s="384" t="s">
        <v>5</v>
      </c>
      <c r="E5" s="363" t="s">
        <v>5</v>
      </c>
      <c r="F5" s="401" t="s">
        <v>5</v>
      </c>
      <c r="G5" s="391" t="s">
        <v>5</v>
      </c>
      <c r="H5" s="365"/>
      <c r="I5" s="401"/>
      <c r="J5" s="391"/>
      <c r="K5" s="365"/>
      <c r="L5" s="401"/>
      <c r="M5" s="391"/>
      <c r="N5" s="365"/>
      <c r="O5" s="401"/>
      <c r="P5" s="391"/>
      <c r="Q5" s="365"/>
      <c r="R5" s="401"/>
      <c r="S5" s="391"/>
      <c r="T5" s="206" t="s">
        <v>5</v>
      </c>
      <c r="U5" s="270" t="s">
        <v>5</v>
      </c>
      <c r="V5" s="370" t="s">
        <v>5</v>
      </c>
      <c r="W5" s="4" t="str">
        <f>IF(U5="TY","A",IF(U5="TY/TYs","AB",IF(U5="TYs", "B",IF(U5="TC","C",IF(U5="-","",)))))</f>
        <v/>
      </c>
    </row>
    <row r="6" spans="1:23" ht="15" customHeight="1">
      <c r="A6" s="339" t="s">
        <v>50</v>
      </c>
      <c r="B6" s="266">
        <v>1</v>
      </c>
      <c r="C6" s="28" t="s">
        <v>7</v>
      </c>
      <c r="D6" s="302" t="s">
        <v>5</v>
      </c>
      <c r="E6" s="127">
        <f>3.9+3+10.25+(0.5+0.5)*6/7</f>
        <v>18.007142857142856</v>
      </c>
      <c r="F6" s="145" t="str">
        <f>"["&amp;316.19*14&amp;"]"</f>
        <v>[4426.66]</v>
      </c>
      <c r="G6" s="146">
        <f>3450*14</f>
        <v>48300</v>
      </c>
      <c r="H6" s="175" t="s">
        <v>5</v>
      </c>
      <c r="I6" s="400" t="s">
        <v>5</v>
      </c>
      <c r="J6" s="396" t="s">
        <v>5</v>
      </c>
      <c r="K6" s="175" t="s">
        <v>5</v>
      </c>
      <c r="L6" s="400" t="s">
        <v>5</v>
      </c>
      <c r="M6" s="396" t="s">
        <v>5</v>
      </c>
      <c r="N6" s="175" t="s">
        <v>5</v>
      </c>
      <c r="O6" s="400" t="s">
        <v>5</v>
      </c>
      <c r="P6" s="396" t="s">
        <v>5</v>
      </c>
      <c r="Q6" s="175" t="s">
        <v>5</v>
      </c>
      <c r="R6" s="400" t="s">
        <v>5</v>
      </c>
      <c r="S6" s="396" t="s">
        <v>5</v>
      </c>
      <c r="T6" s="192">
        <f>G6*E6/100</f>
        <v>8697.4500000000007</v>
      </c>
      <c r="U6" s="19" t="s">
        <v>6</v>
      </c>
      <c r="V6" s="371">
        <v>100</v>
      </c>
      <c r="W6" s="4" t="str">
        <f t="shared" ref="W6:W45" si="0">IF(U6="TY","A",IF(U6="TY/TYs","AB",IF(U6="TYs", "B",IF(U6="TC","C",IF(U6="-","",)))))</f>
        <v>A</v>
      </c>
    </row>
    <row r="7" spans="1:23" ht="15" customHeight="1">
      <c r="A7" s="235" t="s">
        <v>26</v>
      </c>
      <c r="B7" s="267">
        <v>1</v>
      </c>
      <c r="C7" s="19" t="s">
        <v>7</v>
      </c>
      <c r="D7" s="302" t="s">
        <v>5</v>
      </c>
      <c r="E7" s="127">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4" t="str">
        <f t="shared" si="0"/>
        <v>A</v>
      </c>
    </row>
    <row r="8" spans="1:23" ht="15" customHeight="1">
      <c r="A8" s="235" t="s">
        <v>49</v>
      </c>
      <c r="B8" s="267">
        <v>1</v>
      </c>
      <c r="C8" s="19" t="s">
        <v>8</v>
      </c>
      <c r="D8" s="303" t="s">
        <v>5</v>
      </c>
      <c r="E8" s="127">
        <f>0.0198*100</f>
        <v>1.9800000000000002</v>
      </c>
      <c r="F8" s="145">
        <v>0</v>
      </c>
      <c r="G8" s="146">
        <v>3500</v>
      </c>
      <c r="H8" s="127">
        <f>E8+(0.0495*100)</f>
        <v>6.9300000000000006</v>
      </c>
      <c r="I8" s="145">
        <f>G8</f>
        <v>3500</v>
      </c>
      <c r="J8" s="146">
        <f>772.2/0.0198</f>
        <v>39000</v>
      </c>
      <c r="K8" s="127">
        <f>0.0495*100</f>
        <v>4.95</v>
      </c>
      <c r="L8" s="145">
        <f>J8</f>
        <v>39000</v>
      </c>
      <c r="M8" s="146">
        <f>(1831.5/0.0495)+3500</f>
        <v>40500</v>
      </c>
      <c r="N8" s="175" t="s">
        <v>5</v>
      </c>
      <c r="O8" s="400" t="s">
        <v>5</v>
      </c>
      <c r="P8" s="396" t="s">
        <v>5</v>
      </c>
      <c r="Q8" s="175" t="s">
        <v>5</v>
      </c>
      <c r="R8" s="400" t="s">
        <v>5</v>
      </c>
      <c r="S8" s="396" t="s">
        <v>5</v>
      </c>
      <c r="T8" s="192">
        <f>(G8-F8)*E8/100 + (J8-I8)*H8/100 + (M8-L8)*K8/100</f>
        <v>2603.7000000000003</v>
      </c>
      <c r="U8" s="67" t="s">
        <v>5</v>
      </c>
      <c r="V8" s="372" t="s">
        <v>5</v>
      </c>
      <c r="W8" s="4" t="str">
        <f t="shared" si="0"/>
        <v/>
      </c>
    </row>
    <row r="9" spans="1:23" ht="15" customHeight="1">
      <c r="A9" s="235" t="s">
        <v>66</v>
      </c>
      <c r="B9" s="267">
        <v>1</v>
      </c>
      <c r="C9" s="19" t="s">
        <v>7</v>
      </c>
      <c r="D9" s="303" t="s">
        <v>5</v>
      </c>
      <c r="E9" s="127">
        <f>0.07*100</f>
        <v>7.0000000000000009</v>
      </c>
      <c r="F9" s="145">
        <v>0</v>
      </c>
      <c r="G9" s="146">
        <f>12468276/12</f>
        <v>1039023</v>
      </c>
      <c r="H9" s="175" t="s">
        <v>5</v>
      </c>
      <c r="I9" s="400" t="s">
        <v>5</v>
      </c>
      <c r="J9" s="396" t="s">
        <v>5</v>
      </c>
      <c r="K9" s="175" t="s">
        <v>5</v>
      </c>
      <c r="L9" s="400" t="s">
        <v>5</v>
      </c>
      <c r="M9" s="396" t="s">
        <v>5</v>
      </c>
      <c r="N9" s="175" t="s">
        <v>5</v>
      </c>
      <c r="O9" s="400" t="s">
        <v>5</v>
      </c>
      <c r="P9" s="396" t="s">
        <v>5</v>
      </c>
      <c r="Q9" s="175" t="s">
        <v>5</v>
      </c>
      <c r="R9" s="400" t="s">
        <v>5</v>
      </c>
      <c r="S9" s="396" t="s">
        <v>5</v>
      </c>
      <c r="T9" s="192">
        <f>E9/100*G9</f>
        <v>72731.61</v>
      </c>
      <c r="U9" s="19" t="s">
        <v>5</v>
      </c>
      <c r="V9" s="371" t="s">
        <v>5</v>
      </c>
      <c r="W9" s="4" t="str">
        <f t="shared" si="0"/>
        <v/>
      </c>
    </row>
    <row r="10" spans="1:23" ht="15" customHeight="1">
      <c r="A10" s="235" t="s">
        <v>22</v>
      </c>
      <c r="B10" s="267">
        <v>1</v>
      </c>
      <c r="C10" s="28" t="s">
        <v>7</v>
      </c>
      <c r="D10" s="304" t="s">
        <v>5</v>
      </c>
      <c r="E10" s="127">
        <f>0.125*100</f>
        <v>12.5</v>
      </c>
      <c r="F10" s="319" t="s">
        <v>5</v>
      </c>
      <c r="G10" s="320" t="s">
        <v>5</v>
      </c>
      <c r="H10" s="163" t="s">
        <v>5</v>
      </c>
      <c r="I10" s="395" t="s">
        <v>5</v>
      </c>
      <c r="J10" s="472" t="s">
        <v>5</v>
      </c>
      <c r="K10" s="163" t="s">
        <v>5</v>
      </c>
      <c r="L10" s="395" t="s">
        <v>5</v>
      </c>
      <c r="M10" s="472" t="s">
        <v>5</v>
      </c>
      <c r="N10" s="163" t="s">
        <v>5</v>
      </c>
      <c r="O10" s="395" t="s">
        <v>5</v>
      </c>
      <c r="P10" s="472" t="s">
        <v>5</v>
      </c>
      <c r="Q10" s="163" t="s">
        <v>5</v>
      </c>
      <c r="R10" s="395" t="s">
        <v>5</v>
      </c>
      <c r="S10" s="472" t="s">
        <v>5</v>
      </c>
      <c r="T10" s="193" t="s">
        <v>5</v>
      </c>
      <c r="U10" s="28" t="s">
        <v>6</v>
      </c>
      <c r="V10" s="373">
        <v>100</v>
      </c>
      <c r="W10" s="4" t="str">
        <f t="shared" si="0"/>
        <v>A</v>
      </c>
    </row>
    <row r="11" spans="1:23" ht="15" customHeight="1">
      <c r="A11" s="235" t="s">
        <v>237</v>
      </c>
      <c r="B11" s="267">
        <v>1</v>
      </c>
      <c r="C11" s="19" t="s">
        <v>8</v>
      </c>
      <c r="D11" s="385">
        <v>894.5</v>
      </c>
      <c r="E11" s="127" t="s">
        <v>5</v>
      </c>
      <c r="F11" s="145" t="s">
        <v>5</v>
      </c>
      <c r="G11" s="146" t="s">
        <v>5</v>
      </c>
      <c r="H11" s="175" t="s">
        <v>5</v>
      </c>
      <c r="I11" s="400" t="s">
        <v>5</v>
      </c>
      <c r="J11" s="396" t="s">
        <v>5</v>
      </c>
      <c r="K11" s="175" t="s">
        <v>5</v>
      </c>
      <c r="L11" s="400" t="s">
        <v>5</v>
      </c>
      <c r="M11" s="396" t="s">
        <v>5</v>
      </c>
      <c r="N11" s="175" t="s">
        <v>5</v>
      </c>
      <c r="O11" s="400" t="s">
        <v>5</v>
      </c>
      <c r="P11" s="396" t="s">
        <v>5</v>
      </c>
      <c r="Q11" s="175" t="s">
        <v>5</v>
      </c>
      <c r="R11" s="400" t="s">
        <v>5</v>
      </c>
      <c r="S11" s="396" t="s">
        <v>5</v>
      </c>
      <c r="T11" s="188" t="s">
        <v>5</v>
      </c>
      <c r="U11" s="19" t="s">
        <v>6</v>
      </c>
      <c r="V11" s="371">
        <v>100</v>
      </c>
      <c r="W11" s="4" t="str">
        <f t="shared" si="0"/>
        <v>A</v>
      </c>
    </row>
    <row r="12" spans="1:23" ht="15" customHeight="1">
      <c r="A12" s="235" t="s">
        <v>58</v>
      </c>
      <c r="B12" s="267">
        <v>1</v>
      </c>
      <c r="C12" s="19" t="s">
        <v>7</v>
      </c>
      <c r="D12" s="302" t="s">
        <v>5</v>
      </c>
      <c r="E12" s="127">
        <f>0.01*100</f>
        <v>1</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19" t="s">
        <v>6</v>
      </c>
      <c r="V12" s="371">
        <v>100</v>
      </c>
      <c r="W12" s="4" t="str">
        <f t="shared" si="0"/>
        <v>A</v>
      </c>
    </row>
    <row r="13" spans="1:23" ht="15" customHeight="1">
      <c r="A13" s="235" t="s">
        <v>9</v>
      </c>
      <c r="B13" s="267">
        <v>1</v>
      </c>
      <c r="C13" s="19" t="s">
        <v>10</v>
      </c>
      <c r="D13" s="306" t="s">
        <v>5</v>
      </c>
      <c r="E13" s="127">
        <f>0.015*100</f>
        <v>1.5</v>
      </c>
      <c r="F13" s="145" t="s">
        <v>5</v>
      </c>
      <c r="G13" s="146" t="s">
        <v>5</v>
      </c>
      <c r="H13" s="175" t="s">
        <v>5</v>
      </c>
      <c r="I13" s="400" t="s">
        <v>5</v>
      </c>
      <c r="J13" s="396" t="s">
        <v>5</v>
      </c>
      <c r="K13" s="175" t="s">
        <v>5</v>
      </c>
      <c r="L13" s="400" t="s">
        <v>5</v>
      </c>
      <c r="M13" s="396" t="s">
        <v>5</v>
      </c>
      <c r="N13" s="175" t="s">
        <v>5</v>
      </c>
      <c r="O13" s="400" t="s">
        <v>5</v>
      </c>
      <c r="P13" s="396" t="s">
        <v>5</v>
      </c>
      <c r="Q13" s="175" t="s">
        <v>5</v>
      </c>
      <c r="R13" s="400" t="s">
        <v>5</v>
      </c>
      <c r="S13" s="396" t="s">
        <v>5</v>
      </c>
      <c r="T13" s="192" t="s">
        <v>5</v>
      </c>
      <c r="U13" s="19" t="s">
        <v>5</v>
      </c>
      <c r="V13" s="371" t="s">
        <v>5</v>
      </c>
      <c r="W13" s="4" t="str">
        <f t="shared" si="0"/>
        <v/>
      </c>
    </row>
    <row r="14" spans="1:23" ht="15" customHeight="1">
      <c r="A14" s="235" t="s">
        <v>9</v>
      </c>
      <c r="B14" s="267">
        <v>2</v>
      </c>
      <c r="C14" s="19" t="s">
        <v>8</v>
      </c>
      <c r="D14" s="306" t="s">
        <v>5</v>
      </c>
      <c r="E14" s="127">
        <f>0.0485*100</f>
        <v>4.8500000000000005</v>
      </c>
      <c r="F14" s="145" t="s">
        <v>5</v>
      </c>
      <c r="G14" s="146" t="s">
        <v>5</v>
      </c>
      <c r="H14" s="175" t="s">
        <v>5</v>
      </c>
      <c r="I14" s="400" t="s">
        <v>5</v>
      </c>
      <c r="J14" s="396" t="s">
        <v>5</v>
      </c>
      <c r="K14" s="175" t="s">
        <v>5</v>
      </c>
      <c r="L14" s="400" t="s">
        <v>5</v>
      </c>
      <c r="M14" s="396" t="s">
        <v>5</v>
      </c>
      <c r="N14" s="175" t="s">
        <v>5</v>
      </c>
      <c r="O14" s="400" t="s">
        <v>5</v>
      </c>
      <c r="P14" s="396" t="s">
        <v>5</v>
      </c>
      <c r="Q14" s="175" t="s">
        <v>5</v>
      </c>
      <c r="R14" s="400" t="s">
        <v>5</v>
      </c>
      <c r="S14" s="396" t="s">
        <v>5</v>
      </c>
      <c r="T14" s="192" t="s">
        <v>5</v>
      </c>
      <c r="U14" s="19" t="s">
        <v>6</v>
      </c>
      <c r="V14" s="371">
        <v>100</v>
      </c>
      <c r="W14" s="4" t="str">
        <f t="shared" si="0"/>
        <v>A</v>
      </c>
    </row>
    <row r="15" spans="1:23" ht="15" customHeight="1">
      <c r="A15" s="235" t="s">
        <v>48</v>
      </c>
      <c r="B15" s="267">
        <v>1</v>
      </c>
      <c r="C15" s="19" t="s">
        <v>8</v>
      </c>
      <c r="D15" s="303" t="s">
        <v>5</v>
      </c>
      <c r="E15" s="127">
        <f>(0.0655+0.0075+0.024+0.038+0.0005+0.0005)*100</f>
        <v>13.600000000000001</v>
      </c>
      <c r="F15" s="145">
        <v>0</v>
      </c>
      <c r="G15" s="146">
        <v>29712</v>
      </c>
      <c r="H15" s="127">
        <f>(0.0075+0.024+0.079+0.0005+0.0005)*100</f>
        <v>11.15</v>
      </c>
      <c r="I15" s="145">
        <f>G15</f>
        <v>29712</v>
      </c>
      <c r="J15" s="146">
        <f>G15*3</f>
        <v>89136</v>
      </c>
      <c r="K15" s="127">
        <f>(0.0075+0.024+0.0005+0.0005)*100</f>
        <v>3.25</v>
      </c>
      <c r="L15" s="145">
        <f>J15</f>
        <v>89136</v>
      </c>
      <c r="M15" s="146">
        <f>G15*4</f>
        <v>118848</v>
      </c>
      <c r="N15" s="127">
        <f>(0.0075+0.0005+0.0005)*100</f>
        <v>0.85000000000000009</v>
      </c>
      <c r="O15" s="145">
        <f>M15</f>
        <v>118848</v>
      </c>
      <c r="P15" s="396" t="s">
        <v>5</v>
      </c>
      <c r="Q15" s="175" t="s">
        <v>5</v>
      </c>
      <c r="R15" s="400" t="s">
        <v>5</v>
      </c>
      <c r="S15" s="396" t="s">
        <v>5</v>
      </c>
      <c r="T15" s="192" t="s">
        <v>5</v>
      </c>
      <c r="U15" s="19" t="s">
        <v>6</v>
      </c>
      <c r="V15" s="371">
        <f>E15*100/E15</f>
        <v>100</v>
      </c>
      <c r="W15" s="4" t="str">
        <f t="shared" si="0"/>
        <v>A</v>
      </c>
    </row>
    <row r="16" spans="1:23" ht="15" customHeight="1">
      <c r="A16" s="272" t="s">
        <v>54</v>
      </c>
      <c r="B16" s="405">
        <v>1</v>
      </c>
      <c r="C16" s="19" t="s">
        <v>8</v>
      </c>
      <c r="D16" s="303" t="s">
        <v>5</v>
      </c>
      <c r="E16" s="127">
        <f>(0.0975+0.07+0.0325+0.0085)*100</f>
        <v>20.85</v>
      </c>
      <c r="F16" s="145">
        <v>0</v>
      </c>
      <c r="G16" s="146">
        <v>41850</v>
      </c>
      <c r="H16" s="127">
        <f>(0.0975+0.0325)*100</f>
        <v>13</v>
      </c>
      <c r="I16" s="145">
        <f>G16</f>
        <v>41850</v>
      </c>
      <c r="J16" s="146">
        <v>61800</v>
      </c>
      <c r="K16" s="175" t="s">
        <v>5</v>
      </c>
      <c r="L16" s="400" t="s">
        <v>5</v>
      </c>
      <c r="M16" s="396" t="s">
        <v>5</v>
      </c>
      <c r="N16" s="175" t="s">
        <v>5</v>
      </c>
      <c r="O16" s="400" t="s">
        <v>5</v>
      </c>
      <c r="P16" s="396" t="s">
        <v>5</v>
      </c>
      <c r="Q16" s="175" t="s">
        <v>5</v>
      </c>
      <c r="R16" s="400" t="s">
        <v>5</v>
      </c>
      <c r="S16" s="396" t="s">
        <v>5</v>
      </c>
      <c r="T16" s="192">
        <f>(G16-F16)*E16/100 + (J16-I16)*H16/100</f>
        <v>11319.225</v>
      </c>
      <c r="U16" s="19" t="s">
        <v>6</v>
      </c>
      <c r="V16" s="375" t="s">
        <v>218</v>
      </c>
      <c r="W16" s="4" t="str">
        <f t="shared" si="0"/>
        <v>A</v>
      </c>
    </row>
    <row r="17" spans="1:23" ht="15" customHeight="1">
      <c r="A17" s="235" t="s">
        <v>53</v>
      </c>
      <c r="B17" s="267">
        <v>1</v>
      </c>
      <c r="C17" s="19" t="s">
        <v>7</v>
      </c>
      <c r="D17" s="306" t="s">
        <v>5</v>
      </c>
      <c r="E17" s="127">
        <f>0.16*100</f>
        <v>16</v>
      </c>
      <c r="F17" s="145">
        <v>0</v>
      </c>
      <c r="G17" s="146">
        <f>63355.2/14</f>
        <v>4525.3714285714286</v>
      </c>
      <c r="H17" s="175" t="s">
        <v>5</v>
      </c>
      <c r="I17" s="400" t="s">
        <v>5</v>
      </c>
      <c r="J17" s="396" t="s">
        <v>5</v>
      </c>
      <c r="K17" s="175" t="s">
        <v>5</v>
      </c>
      <c r="L17" s="400" t="s">
        <v>5</v>
      </c>
      <c r="M17" s="396" t="s">
        <v>5</v>
      </c>
      <c r="N17" s="175" t="s">
        <v>5</v>
      </c>
      <c r="O17" s="400" t="s">
        <v>5</v>
      </c>
      <c r="P17" s="396" t="s">
        <v>5</v>
      </c>
      <c r="Q17" s="175" t="s">
        <v>5</v>
      </c>
      <c r="R17" s="400" t="s">
        <v>5</v>
      </c>
      <c r="S17" s="396" t="s">
        <v>5</v>
      </c>
      <c r="T17" s="192">
        <f>G17*E17/100</f>
        <v>724.05942857142861</v>
      </c>
      <c r="U17" s="19" t="s">
        <v>6</v>
      </c>
      <c r="V17" s="371">
        <v>100</v>
      </c>
      <c r="W17" s="4" t="str">
        <f t="shared" si="0"/>
        <v>A</v>
      </c>
    </row>
    <row r="18" spans="1:23" ht="15" customHeight="1">
      <c r="A18" s="235" t="s">
        <v>23</v>
      </c>
      <c r="B18" s="267">
        <v>1</v>
      </c>
      <c r="C18" s="19" t="s">
        <v>8</v>
      </c>
      <c r="D18" s="302" t="s">
        <v>5</v>
      </c>
      <c r="E18" s="127">
        <f>0.085*100</f>
        <v>8.5</v>
      </c>
      <c r="F18" s="145">
        <v>0</v>
      </c>
      <c r="G18" s="146">
        <v>5307000</v>
      </c>
      <c r="H18" s="175" t="s">
        <v>5</v>
      </c>
      <c r="I18" s="400" t="s">
        <v>5</v>
      </c>
      <c r="J18" s="396" t="s">
        <v>5</v>
      </c>
      <c r="K18" s="175" t="s">
        <v>5</v>
      </c>
      <c r="L18" s="400" t="s">
        <v>5</v>
      </c>
      <c r="M18" s="396" t="s">
        <v>5</v>
      </c>
      <c r="N18" s="175" t="s">
        <v>5</v>
      </c>
      <c r="O18" s="400" t="s">
        <v>5</v>
      </c>
      <c r="P18" s="396" t="s">
        <v>5</v>
      </c>
      <c r="Q18" s="175" t="s">
        <v>5</v>
      </c>
      <c r="R18" s="400" t="s">
        <v>5</v>
      </c>
      <c r="S18" s="396" t="s">
        <v>5</v>
      </c>
      <c r="T18" s="203">
        <f>+G18*E18/100</f>
        <v>451095</v>
      </c>
      <c r="U18" s="23" t="s">
        <v>5</v>
      </c>
      <c r="V18" s="374" t="s">
        <v>5</v>
      </c>
      <c r="W18" s="4" t="str">
        <f t="shared" si="0"/>
        <v/>
      </c>
    </row>
    <row r="19" spans="1:23" ht="15" customHeight="1">
      <c r="A19" s="235" t="s">
        <v>23</v>
      </c>
      <c r="B19" s="267">
        <v>2</v>
      </c>
      <c r="C19" s="19" t="s">
        <v>8</v>
      </c>
      <c r="D19" s="302" t="s">
        <v>5</v>
      </c>
      <c r="E19" s="127">
        <f>(0.04+0.01)*100</f>
        <v>5</v>
      </c>
      <c r="F19" s="145" t="s">
        <v>5</v>
      </c>
      <c r="G19" s="146" t="s">
        <v>5</v>
      </c>
      <c r="H19" s="175" t="s">
        <v>5</v>
      </c>
      <c r="I19" s="400" t="s">
        <v>5</v>
      </c>
      <c r="J19" s="396" t="s">
        <v>5</v>
      </c>
      <c r="K19" s="175" t="s">
        <v>5</v>
      </c>
      <c r="L19" s="400" t="s">
        <v>5</v>
      </c>
      <c r="M19" s="396" t="s">
        <v>5</v>
      </c>
      <c r="N19" s="175" t="s">
        <v>5</v>
      </c>
      <c r="O19" s="400" t="s">
        <v>5</v>
      </c>
      <c r="P19" s="396" t="s">
        <v>5</v>
      </c>
      <c r="Q19" s="175" t="s">
        <v>5</v>
      </c>
      <c r="R19" s="400" t="s">
        <v>5</v>
      </c>
      <c r="S19" s="396" t="s">
        <v>5</v>
      </c>
      <c r="T19" s="203" t="s">
        <v>5</v>
      </c>
      <c r="U19" s="23" t="s">
        <v>5</v>
      </c>
      <c r="V19" s="374" t="s">
        <v>5</v>
      </c>
      <c r="W19" s="4" t="str">
        <f t="shared" si="0"/>
        <v/>
      </c>
    </row>
    <row r="20" spans="1:23" ht="15" customHeight="1">
      <c r="A20" s="235" t="s">
        <v>68</v>
      </c>
      <c r="B20" s="267">
        <v>1</v>
      </c>
      <c r="C20" s="28" t="s">
        <v>6</v>
      </c>
      <c r="D20" s="385">
        <v>5738</v>
      </c>
      <c r="E20" s="127" t="s">
        <v>24</v>
      </c>
      <c r="F20" s="145">
        <v>855288</v>
      </c>
      <c r="G20" s="146" t="s">
        <v>24</v>
      </c>
      <c r="H20" s="175" t="s">
        <v>5</v>
      </c>
      <c r="I20" s="400" t="s">
        <v>5</v>
      </c>
      <c r="J20" s="396" t="s">
        <v>5</v>
      </c>
      <c r="K20" s="175" t="s">
        <v>5</v>
      </c>
      <c r="L20" s="400" t="s">
        <v>5</v>
      </c>
      <c r="M20" s="396" t="s">
        <v>5</v>
      </c>
      <c r="N20" s="175" t="s">
        <v>5</v>
      </c>
      <c r="O20" s="400" t="s">
        <v>5</v>
      </c>
      <c r="P20" s="396" t="s">
        <v>5</v>
      </c>
      <c r="Q20" s="175" t="s">
        <v>5</v>
      </c>
      <c r="R20" s="400" t="s">
        <v>5</v>
      </c>
      <c r="S20" s="396" t="s">
        <v>5</v>
      </c>
      <c r="T20" s="192" t="s">
        <v>24</v>
      </c>
      <c r="U20" s="54" t="s">
        <v>5</v>
      </c>
      <c r="V20" s="374" t="s">
        <v>5</v>
      </c>
      <c r="W20" s="4" t="str">
        <f t="shared" si="0"/>
        <v/>
      </c>
    </row>
    <row r="21" spans="1:23" ht="15" customHeight="1">
      <c r="A21" s="235" t="s">
        <v>68</v>
      </c>
      <c r="B21" s="267">
        <v>2</v>
      </c>
      <c r="C21" s="28" t="s">
        <v>8</v>
      </c>
      <c r="D21" s="386" t="s">
        <v>5</v>
      </c>
      <c r="E21" s="127">
        <v>8</v>
      </c>
      <c r="F21" s="392" t="s">
        <v>5</v>
      </c>
      <c r="G21" s="317" t="s">
        <v>5</v>
      </c>
      <c r="H21" s="120" t="s">
        <v>5</v>
      </c>
      <c r="I21" s="219" t="s">
        <v>5</v>
      </c>
      <c r="J21" s="180" t="s">
        <v>5</v>
      </c>
      <c r="K21" s="120" t="s">
        <v>5</v>
      </c>
      <c r="L21" s="219" t="s">
        <v>5</v>
      </c>
      <c r="M21" s="180" t="s">
        <v>5</v>
      </c>
      <c r="N21" s="120" t="s">
        <v>5</v>
      </c>
      <c r="O21" s="219" t="s">
        <v>5</v>
      </c>
      <c r="P21" s="180" t="s">
        <v>5</v>
      </c>
      <c r="Q21" s="120" t="s">
        <v>5</v>
      </c>
      <c r="R21" s="219" t="s">
        <v>5</v>
      </c>
      <c r="S21" s="180" t="s">
        <v>5</v>
      </c>
      <c r="T21" s="203" t="s">
        <v>5</v>
      </c>
      <c r="U21" s="19" t="s">
        <v>6</v>
      </c>
      <c r="V21" s="371">
        <v>100</v>
      </c>
      <c r="W21" s="4" t="str">
        <f t="shared" si="0"/>
        <v>A</v>
      </c>
    </row>
    <row r="22" spans="1:23" ht="15" customHeight="1">
      <c r="A22" s="235" t="s">
        <v>92</v>
      </c>
      <c r="B22" s="267">
        <v>1</v>
      </c>
      <c r="C22" s="19" t="s">
        <v>8</v>
      </c>
      <c r="D22" s="303" t="s">
        <v>5</v>
      </c>
      <c r="E22" s="127">
        <f>0.02*100</f>
        <v>2</v>
      </c>
      <c r="F22" s="145">
        <v>18512</v>
      </c>
      <c r="G22" s="396" t="s">
        <v>5</v>
      </c>
      <c r="H22" s="175" t="s">
        <v>5</v>
      </c>
      <c r="I22" s="400" t="s">
        <v>5</v>
      </c>
      <c r="J22" s="396" t="s">
        <v>5</v>
      </c>
      <c r="K22" s="175" t="s">
        <v>5</v>
      </c>
      <c r="L22" s="400" t="s">
        <v>5</v>
      </c>
      <c r="M22" s="396" t="s">
        <v>5</v>
      </c>
      <c r="N22" s="175" t="s">
        <v>5</v>
      </c>
      <c r="O22" s="400" t="s">
        <v>5</v>
      </c>
      <c r="P22" s="396" t="s">
        <v>5</v>
      </c>
      <c r="Q22" s="175" t="s">
        <v>5</v>
      </c>
      <c r="R22" s="400" t="s">
        <v>5</v>
      </c>
      <c r="S22" s="396" t="s">
        <v>5</v>
      </c>
      <c r="T22" s="188" t="s">
        <v>5</v>
      </c>
      <c r="U22" s="67" t="s">
        <v>5</v>
      </c>
      <c r="V22" s="372" t="s">
        <v>5</v>
      </c>
      <c r="W22" s="4" t="str">
        <f t="shared" si="0"/>
        <v/>
      </c>
    </row>
    <row r="23" spans="1:23" ht="15" customHeight="1">
      <c r="A23" s="235" t="s">
        <v>92</v>
      </c>
      <c r="B23" s="267">
        <v>2</v>
      </c>
      <c r="C23" s="19" t="str">
        <f>C22</f>
        <v>AGE</v>
      </c>
      <c r="D23" s="302" t="s">
        <v>5</v>
      </c>
      <c r="E23" s="127">
        <f>0.04*100</f>
        <v>4</v>
      </c>
      <c r="F23" s="145" t="s">
        <v>80</v>
      </c>
      <c r="G23" s="115">
        <v>42160</v>
      </c>
      <c r="H23" s="120" t="s">
        <v>5</v>
      </c>
      <c r="I23" s="219" t="s">
        <v>5</v>
      </c>
      <c r="J23" s="180" t="s">
        <v>5</v>
      </c>
      <c r="K23" s="120" t="s">
        <v>5</v>
      </c>
      <c r="L23" s="219" t="s">
        <v>5</v>
      </c>
      <c r="M23" s="180" t="s">
        <v>5</v>
      </c>
      <c r="N23" s="120" t="s">
        <v>5</v>
      </c>
      <c r="O23" s="219" t="s">
        <v>5</v>
      </c>
      <c r="P23" s="180" t="s">
        <v>5</v>
      </c>
      <c r="Q23" s="120" t="s">
        <v>5</v>
      </c>
      <c r="R23" s="219" t="s">
        <v>5</v>
      </c>
      <c r="S23" s="180" t="s">
        <v>5</v>
      </c>
      <c r="T23" s="203">
        <f>E23*G23/100</f>
        <v>1686.4</v>
      </c>
      <c r="U23" s="23" t="s">
        <v>5</v>
      </c>
      <c r="V23" s="374" t="s">
        <v>5</v>
      </c>
      <c r="W23" s="4" t="str">
        <f t="shared" si="0"/>
        <v/>
      </c>
    </row>
    <row r="24" spans="1:23" ht="15" customHeight="1">
      <c r="A24" s="235" t="s">
        <v>69</v>
      </c>
      <c r="B24" s="267">
        <v>1</v>
      </c>
      <c r="C24" s="19" t="s">
        <v>7</v>
      </c>
      <c r="D24" s="303" t="s">
        <v>5</v>
      </c>
      <c r="E24" s="127">
        <f>0.045*100</f>
        <v>4.5</v>
      </c>
      <c r="F24" s="145">
        <v>0</v>
      </c>
      <c r="G24" s="146">
        <f>41784/12</f>
        <v>3482</v>
      </c>
      <c r="H24" s="127">
        <f>0.1038*100</f>
        <v>10.38</v>
      </c>
      <c r="I24" s="145">
        <f>G24</f>
        <v>3482</v>
      </c>
      <c r="J24" s="146">
        <f>417840/12</f>
        <v>34820</v>
      </c>
      <c r="K24" s="175" t="s">
        <v>5</v>
      </c>
      <c r="L24" s="400" t="s">
        <v>5</v>
      </c>
      <c r="M24" s="396" t="s">
        <v>5</v>
      </c>
      <c r="N24" s="175" t="s">
        <v>5</v>
      </c>
      <c r="O24" s="400" t="s">
        <v>5</v>
      </c>
      <c r="P24" s="396" t="s">
        <v>5</v>
      </c>
      <c r="Q24" s="175" t="s">
        <v>5</v>
      </c>
      <c r="R24" s="400" t="s">
        <v>5</v>
      </c>
      <c r="S24" s="396" t="s">
        <v>5</v>
      </c>
      <c r="T24" s="192">
        <f>+E24/100*G24+H24/100*(J24-I24)</f>
        <v>3409.5744</v>
      </c>
      <c r="U24" s="67" t="s">
        <v>5</v>
      </c>
      <c r="V24" s="372" t="s">
        <v>5</v>
      </c>
      <c r="W24" s="4" t="str">
        <f t="shared" si="0"/>
        <v/>
      </c>
    </row>
    <row r="25" spans="1:23" ht="15" customHeight="1">
      <c r="A25" s="235" t="s">
        <v>13</v>
      </c>
      <c r="B25" s="267">
        <v>1</v>
      </c>
      <c r="C25" s="19" t="s">
        <v>8</v>
      </c>
      <c r="D25" s="303" t="s">
        <v>5</v>
      </c>
      <c r="E25" s="127">
        <f>0.0919*100</f>
        <v>9.19</v>
      </c>
      <c r="F25" s="145">
        <v>0</v>
      </c>
      <c r="G25" s="146">
        <v>37883</v>
      </c>
      <c r="H25" s="127">
        <f>0.1019*100</f>
        <v>10.190000000000001</v>
      </c>
      <c r="I25" s="145">
        <f>G25</f>
        <v>37883</v>
      </c>
      <c r="J25" s="146">
        <v>82401</v>
      </c>
      <c r="K25" s="175" t="s">
        <v>5</v>
      </c>
      <c r="L25" s="400" t="s">
        <v>5</v>
      </c>
      <c r="M25" s="396" t="s">
        <v>5</v>
      </c>
      <c r="N25" s="175" t="s">
        <v>5</v>
      </c>
      <c r="O25" s="400" t="s">
        <v>5</v>
      </c>
      <c r="P25" s="396" t="s">
        <v>5</v>
      </c>
      <c r="Q25" s="175" t="s">
        <v>5</v>
      </c>
      <c r="R25" s="400" t="s">
        <v>5</v>
      </c>
      <c r="S25" s="396" t="s">
        <v>5</v>
      </c>
      <c r="T25" s="192">
        <f>((E25/100)*G25)+(H25/100)*(J25-I25)</f>
        <v>8017.8319000000001</v>
      </c>
      <c r="U25" s="279" t="s">
        <v>6</v>
      </c>
      <c r="V25" s="374">
        <v>100</v>
      </c>
      <c r="W25" s="4" t="str">
        <f t="shared" si="0"/>
        <v>A</v>
      </c>
    </row>
    <row r="26" spans="1:23" s="2" customFormat="1" ht="15" customHeight="1">
      <c r="A26" s="235" t="s">
        <v>14</v>
      </c>
      <c r="B26" s="267">
        <v>1</v>
      </c>
      <c r="C26" s="407" t="s">
        <v>7</v>
      </c>
      <c r="D26" s="306" t="s">
        <v>5</v>
      </c>
      <c r="E26" s="127">
        <f>0.0679*100+H26</f>
        <v>11.59</v>
      </c>
      <c r="F26" s="392">
        <v>0</v>
      </c>
      <c r="G26" s="146">
        <f>7440000/12</f>
        <v>620000</v>
      </c>
      <c r="H26" s="127">
        <f>0.041*100+K26</f>
        <v>4.8000000000000007</v>
      </c>
      <c r="I26" s="392">
        <f>G26</f>
        <v>620000</v>
      </c>
      <c r="J26" s="317">
        <f>11760000/12</f>
        <v>980000</v>
      </c>
      <c r="K26" s="127">
        <f>0.007*100</f>
        <v>0.70000000000000007</v>
      </c>
      <c r="L26" s="392">
        <f>J26</f>
        <v>980000</v>
      </c>
      <c r="M26" s="396" t="s">
        <v>5</v>
      </c>
      <c r="N26" s="175" t="s">
        <v>5</v>
      </c>
      <c r="O26" s="400" t="s">
        <v>5</v>
      </c>
      <c r="P26" s="396" t="s">
        <v>5</v>
      </c>
      <c r="Q26" s="175" t="s">
        <v>5</v>
      </c>
      <c r="R26" s="400" t="s">
        <v>5</v>
      </c>
      <c r="S26" s="396" t="s">
        <v>5</v>
      </c>
      <c r="T26" s="203" t="s">
        <v>5</v>
      </c>
      <c r="U26" s="19" t="s">
        <v>6</v>
      </c>
      <c r="V26" s="371">
        <v>100</v>
      </c>
      <c r="W26" s="4" t="str">
        <f t="shared" si="0"/>
        <v>A</v>
      </c>
    </row>
    <row r="27" spans="1:23" s="2" customFormat="1" ht="15" customHeight="1">
      <c r="A27" s="235" t="s">
        <v>15</v>
      </c>
      <c r="B27" s="267">
        <v>1</v>
      </c>
      <c r="C27" s="28" t="s">
        <v>7</v>
      </c>
      <c r="D27" s="306" t="s">
        <v>5</v>
      </c>
      <c r="E27" s="127">
        <f>(0.045*100)+H27</f>
        <v>7.0549999999999997</v>
      </c>
      <c r="F27" s="114">
        <v>0</v>
      </c>
      <c r="G27" s="317">
        <f>(1944000/0.045)/12</f>
        <v>3600000</v>
      </c>
      <c r="H27" s="143">
        <f>(0.02105*100)+K27</f>
        <v>2.5549999999999997</v>
      </c>
      <c r="I27" s="133">
        <f>G27</f>
        <v>3600000</v>
      </c>
      <c r="J27" s="180">
        <f>(12832080/0.02105)/12</f>
        <v>50800000</v>
      </c>
      <c r="K27" s="143">
        <f>0.0045*100</f>
        <v>0.44999999999999996</v>
      </c>
      <c r="L27" s="133">
        <f>J27</f>
        <v>50800000</v>
      </c>
      <c r="M27" s="180" t="s">
        <v>5</v>
      </c>
      <c r="N27" s="120" t="s">
        <v>5</v>
      </c>
      <c r="O27" s="219" t="s">
        <v>5</v>
      </c>
      <c r="P27" s="180" t="s">
        <v>5</v>
      </c>
      <c r="Q27" s="120" t="s">
        <v>5</v>
      </c>
      <c r="R27" s="219" t="s">
        <v>5</v>
      </c>
      <c r="S27" s="180" t="s">
        <v>5</v>
      </c>
      <c r="T27" s="188" t="s">
        <v>5</v>
      </c>
      <c r="U27" s="19" t="s">
        <v>6</v>
      </c>
      <c r="V27" s="371">
        <v>100</v>
      </c>
      <c r="W27" s="4" t="str">
        <f t="shared" si="0"/>
        <v>A</v>
      </c>
    </row>
    <row r="28" spans="1:23" s="40" customFormat="1">
      <c r="A28" s="513" t="s">
        <v>282</v>
      </c>
      <c r="B28" s="500">
        <v>1</v>
      </c>
      <c r="C28" s="30" t="s">
        <v>8</v>
      </c>
      <c r="D28" s="502" t="s">
        <v>5</v>
      </c>
      <c r="E28" s="503">
        <v>9</v>
      </c>
      <c r="F28" s="400">
        <v>0</v>
      </c>
      <c r="G28" s="396">
        <v>28315</v>
      </c>
      <c r="H28" s="501"/>
      <c r="I28" s="504"/>
      <c r="J28" s="505"/>
      <c r="K28" s="501"/>
      <c r="L28" s="504"/>
      <c r="M28" s="505"/>
      <c r="N28" s="506"/>
      <c r="O28" s="504"/>
      <c r="P28" s="505"/>
      <c r="Q28" s="506"/>
      <c r="R28" s="504"/>
      <c r="S28" s="505"/>
      <c r="T28" s="507">
        <f>(E28/100)*G28</f>
        <v>2548.35</v>
      </c>
      <c r="U28" s="62" t="s">
        <v>6</v>
      </c>
      <c r="V28" s="375">
        <v>100</v>
      </c>
      <c r="W28" s="30" t="str">
        <f t="shared" si="0"/>
        <v>A</v>
      </c>
    </row>
    <row r="29" spans="1:23" ht="15" customHeight="1">
      <c r="A29" s="235" t="s">
        <v>70</v>
      </c>
      <c r="B29" s="267">
        <v>1</v>
      </c>
      <c r="C29" s="19" t="s">
        <v>8</v>
      </c>
      <c r="D29" s="304" t="s">
        <v>5</v>
      </c>
      <c r="E29" s="127">
        <f>0.1065*100</f>
        <v>10.65</v>
      </c>
      <c r="F29" s="145">
        <v>0</v>
      </c>
      <c r="G29" s="146">
        <v>84177.84</v>
      </c>
      <c r="H29" s="175" t="s">
        <v>5</v>
      </c>
      <c r="I29" s="400" t="s">
        <v>5</v>
      </c>
      <c r="J29" s="396" t="s">
        <v>5</v>
      </c>
      <c r="K29" s="175" t="s">
        <v>5</v>
      </c>
      <c r="L29" s="400" t="s">
        <v>5</v>
      </c>
      <c r="M29" s="396" t="s">
        <v>5</v>
      </c>
      <c r="N29" s="175" t="s">
        <v>5</v>
      </c>
      <c r="O29" s="400" t="s">
        <v>5</v>
      </c>
      <c r="P29" s="396" t="s">
        <v>5</v>
      </c>
      <c r="Q29" s="175" t="s">
        <v>5</v>
      </c>
      <c r="R29" s="400" t="s">
        <v>5</v>
      </c>
      <c r="S29" s="396" t="s">
        <v>5</v>
      </c>
      <c r="T29" s="192">
        <f>G29*E29/100</f>
        <v>8964.9399599999997</v>
      </c>
      <c r="U29" s="28" t="s">
        <v>6</v>
      </c>
      <c r="V29" s="373">
        <v>100</v>
      </c>
      <c r="W29" s="4" t="str">
        <f t="shared" si="0"/>
        <v>A</v>
      </c>
    </row>
    <row r="30" spans="1:23" ht="15" customHeight="1">
      <c r="A30" s="235" t="s">
        <v>70</v>
      </c>
      <c r="B30" s="267">
        <v>2</v>
      </c>
      <c r="C30" s="19" t="s">
        <v>8</v>
      </c>
      <c r="D30" s="304" t="s">
        <v>5</v>
      </c>
      <c r="E30" s="127">
        <f>0.01*100</f>
        <v>1</v>
      </c>
      <c r="F30" s="145">
        <f>0.25*16835.52</f>
        <v>4208.88</v>
      </c>
      <c r="G30" s="180" t="s">
        <v>5</v>
      </c>
      <c r="H30" s="120" t="s">
        <v>5</v>
      </c>
      <c r="I30" s="219" t="s">
        <v>5</v>
      </c>
      <c r="J30" s="180" t="s">
        <v>5</v>
      </c>
      <c r="K30" s="120" t="s">
        <v>5</v>
      </c>
      <c r="L30" s="219" t="s">
        <v>5</v>
      </c>
      <c r="M30" s="180" t="s">
        <v>5</v>
      </c>
      <c r="N30" s="120" t="s">
        <v>5</v>
      </c>
      <c r="O30" s="219" t="s">
        <v>5</v>
      </c>
      <c r="P30" s="180" t="s">
        <v>5</v>
      </c>
      <c r="Q30" s="120" t="s">
        <v>5</v>
      </c>
      <c r="R30" s="219" t="s">
        <v>5</v>
      </c>
      <c r="S30" s="180" t="s">
        <v>5</v>
      </c>
      <c r="T30" s="193" t="s">
        <v>5</v>
      </c>
      <c r="U30" s="7" t="s">
        <v>5</v>
      </c>
      <c r="V30" s="376" t="s">
        <v>5</v>
      </c>
      <c r="W30" s="4" t="str">
        <f t="shared" si="0"/>
        <v/>
      </c>
    </row>
    <row r="31" spans="1:23" s="2" customFormat="1" ht="15" customHeight="1">
      <c r="A31" s="235" t="s">
        <v>71</v>
      </c>
      <c r="B31" s="267">
        <v>1</v>
      </c>
      <c r="C31" s="407" t="s">
        <v>7</v>
      </c>
      <c r="D31" s="413" t="s">
        <v>5</v>
      </c>
      <c r="E31" s="127">
        <f>0.625+0.625</f>
        <v>1.25</v>
      </c>
      <c r="F31" s="185">
        <v>0</v>
      </c>
      <c r="G31" s="186">
        <f>3*45.24*(365/12)</f>
        <v>4128.1500000000005</v>
      </c>
      <c r="H31" s="127">
        <f>E31+1.04</f>
        <v>2.29</v>
      </c>
      <c r="I31" s="185">
        <f>G31</f>
        <v>4128.1500000000005</v>
      </c>
      <c r="J31" s="186">
        <f>21*45.24*(365/12)</f>
        <v>28897.050000000003</v>
      </c>
      <c r="K31" s="127">
        <f>0.625+1.04</f>
        <v>1.665</v>
      </c>
      <c r="L31" s="185">
        <f>J31</f>
        <v>28897.050000000003</v>
      </c>
      <c r="M31" s="186">
        <f>25*45.24*(365/12)</f>
        <v>34401.25</v>
      </c>
      <c r="N31" s="120" t="s">
        <v>5</v>
      </c>
      <c r="O31" s="219" t="s">
        <v>5</v>
      </c>
      <c r="P31" s="180" t="s">
        <v>5</v>
      </c>
      <c r="Q31" s="120" t="s">
        <v>5</v>
      </c>
      <c r="R31" s="219" t="s">
        <v>5</v>
      </c>
      <c r="S31" s="180" t="s">
        <v>5</v>
      </c>
      <c r="T31" s="408">
        <f>($E$31/100*$G$31)+($H$31/100*($J$31-$I$31))+($K$31/100*($M$31-$L$31))</f>
        <v>710.45461499999988</v>
      </c>
      <c r="U31" s="335" t="s">
        <v>5</v>
      </c>
      <c r="V31" s="343" t="s">
        <v>5</v>
      </c>
      <c r="W31" s="4" t="str">
        <f t="shared" si="0"/>
        <v/>
      </c>
    </row>
    <row r="32" spans="1:23" ht="15" customHeight="1">
      <c r="A32" s="339" t="s">
        <v>60</v>
      </c>
      <c r="B32" s="266">
        <v>1</v>
      </c>
      <c r="C32" s="28" t="s">
        <v>6</v>
      </c>
      <c r="D32" s="304" t="s">
        <v>5</v>
      </c>
      <c r="E32" s="127">
        <f>(0.179+0.0125+0.134)*100</f>
        <v>32.550000000000004</v>
      </c>
      <c r="F32" s="319">
        <v>0</v>
      </c>
      <c r="G32" s="320">
        <v>30357</v>
      </c>
      <c r="H32" s="163" t="s">
        <v>5</v>
      </c>
      <c r="I32" s="395" t="s">
        <v>5</v>
      </c>
      <c r="J32" s="472" t="s">
        <v>5</v>
      </c>
      <c r="K32" s="163" t="s">
        <v>5</v>
      </c>
      <c r="L32" s="395" t="s">
        <v>5</v>
      </c>
      <c r="M32" s="472" t="s">
        <v>5</v>
      </c>
      <c r="N32" s="163" t="s">
        <v>5</v>
      </c>
      <c r="O32" s="395" t="s">
        <v>5</v>
      </c>
      <c r="P32" s="472" t="s">
        <v>5</v>
      </c>
      <c r="Q32" s="163" t="s">
        <v>5</v>
      </c>
      <c r="R32" s="395" t="s">
        <v>5</v>
      </c>
      <c r="S32" s="472" t="s">
        <v>5</v>
      </c>
      <c r="T32" s="196">
        <f>(G32-F32)*E32/100</f>
        <v>9881.2035000000014</v>
      </c>
      <c r="U32" s="28" t="s">
        <v>6</v>
      </c>
      <c r="V32" s="373">
        <v>100</v>
      </c>
      <c r="W32" s="4" t="str">
        <f t="shared" si="0"/>
        <v>A</v>
      </c>
    </row>
    <row r="33" spans="1:23" ht="15" customHeight="1">
      <c r="A33" s="411" t="s">
        <v>42</v>
      </c>
      <c r="B33" s="412">
        <v>0</v>
      </c>
      <c r="C33" s="184" t="s">
        <v>250</v>
      </c>
      <c r="D33" s="414" t="s">
        <v>5</v>
      </c>
      <c r="E33" s="409" t="s">
        <v>5</v>
      </c>
      <c r="F33" s="415" t="s">
        <v>5</v>
      </c>
      <c r="G33" s="416" t="s">
        <v>5</v>
      </c>
      <c r="H33" s="163" t="s">
        <v>5</v>
      </c>
      <c r="I33" s="395" t="s">
        <v>5</v>
      </c>
      <c r="J33" s="472" t="s">
        <v>5</v>
      </c>
      <c r="K33" s="163" t="s">
        <v>5</v>
      </c>
      <c r="L33" s="395" t="s">
        <v>5</v>
      </c>
      <c r="M33" s="472" t="s">
        <v>5</v>
      </c>
      <c r="N33" s="163" t="s">
        <v>5</v>
      </c>
      <c r="O33" s="395" t="s">
        <v>5</v>
      </c>
      <c r="P33" s="472" t="s">
        <v>5</v>
      </c>
      <c r="Q33" s="163" t="s">
        <v>5</v>
      </c>
      <c r="R33" s="395" t="s">
        <v>5</v>
      </c>
      <c r="S33" s="472" t="s">
        <v>5</v>
      </c>
      <c r="T33" s="200" t="s">
        <v>5</v>
      </c>
      <c r="U33" s="184" t="s">
        <v>5</v>
      </c>
      <c r="V33" s="373" t="s">
        <v>5</v>
      </c>
      <c r="W33" s="4" t="str">
        <f t="shared" si="0"/>
        <v/>
      </c>
    </row>
    <row r="34" spans="1:23" ht="15" customHeight="1">
      <c r="A34" s="235" t="s">
        <v>16</v>
      </c>
      <c r="B34" s="267">
        <v>1</v>
      </c>
      <c r="C34" s="19" t="s">
        <v>8</v>
      </c>
      <c r="D34" s="302" t="s">
        <v>5</v>
      </c>
      <c r="E34" s="127">
        <f>0.078*100</f>
        <v>7.8</v>
      </c>
      <c r="F34" s="145" t="s">
        <v>36</v>
      </c>
      <c r="G34" s="146" t="s">
        <v>5</v>
      </c>
      <c r="H34" s="175" t="s">
        <v>5</v>
      </c>
      <c r="I34" s="400" t="s">
        <v>5</v>
      </c>
      <c r="J34" s="396" t="s">
        <v>5</v>
      </c>
      <c r="K34" s="175" t="s">
        <v>5</v>
      </c>
      <c r="L34" s="400" t="s">
        <v>5</v>
      </c>
      <c r="M34" s="396" t="s">
        <v>5</v>
      </c>
      <c r="N34" s="175" t="s">
        <v>5</v>
      </c>
      <c r="O34" s="400" t="s">
        <v>5</v>
      </c>
      <c r="P34" s="396" t="s">
        <v>5</v>
      </c>
      <c r="Q34" s="175" t="s">
        <v>5</v>
      </c>
      <c r="R34" s="400" t="s">
        <v>5</v>
      </c>
      <c r="S34" s="396" t="s">
        <v>5</v>
      </c>
      <c r="T34" s="202" t="s">
        <v>5</v>
      </c>
      <c r="U34" s="54" t="s">
        <v>5</v>
      </c>
      <c r="V34" s="374" t="s">
        <v>5</v>
      </c>
      <c r="W34" s="4" t="str">
        <f t="shared" si="0"/>
        <v/>
      </c>
    </row>
    <row r="35" spans="1:23" ht="15" customHeight="1">
      <c r="A35" s="235" t="s">
        <v>72</v>
      </c>
      <c r="B35" s="267">
        <v>1</v>
      </c>
      <c r="C35" s="19" t="s">
        <v>8</v>
      </c>
      <c r="D35" s="303" t="s">
        <v>5</v>
      </c>
      <c r="E35" s="127">
        <f>(0.061098+0.065)*100</f>
        <v>12.609799999999998</v>
      </c>
      <c r="F35" s="145">
        <v>0</v>
      </c>
      <c r="G35" s="146">
        <v>68700</v>
      </c>
      <c r="H35" s="127">
        <f>0.0245*100</f>
        <v>2.4500000000000002</v>
      </c>
      <c r="I35" s="145">
        <v>68700</v>
      </c>
      <c r="J35" s="396" t="s">
        <v>5</v>
      </c>
      <c r="K35" s="175" t="s">
        <v>5</v>
      </c>
      <c r="L35" s="400" t="s">
        <v>5</v>
      </c>
      <c r="M35" s="396" t="s">
        <v>5</v>
      </c>
      <c r="N35" s="175" t="s">
        <v>5</v>
      </c>
      <c r="O35" s="400" t="s">
        <v>5</v>
      </c>
      <c r="P35" s="396" t="s">
        <v>5</v>
      </c>
      <c r="Q35" s="175" t="s">
        <v>5</v>
      </c>
      <c r="R35" s="400" t="s">
        <v>5</v>
      </c>
      <c r="S35" s="396" t="s">
        <v>5</v>
      </c>
      <c r="T35" s="199" t="s">
        <v>5</v>
      </c>
      <c r="U35" s="19" t="s">
        <v>6</v>
      </c>
      <c r="V35" s="371">
        <v>100</v>
      </c>
      <c r="W35" s="4" t="str">
        <f t="shared" si="0"/>
        <v>A</v>
      </c>
    </row>
    <row r="36" spans="1:23" ht="15" customHeight="1">
      <c r="A36" s="235" t="s">
        <v>72</v>
      </c>
      <c r="B36" s="267">
        <v>2</v>
      </c>
      <c r="C36" s="19" t="s">
        <v>8</v>
      </c>
      <c r="D36" s="302" t="s">
        <v>5</v>
      </c>
      <c r="E36" s="143">
        <f>0.0825*100</f>
        <v>8.25</v>
      </c>
      <c r="F36" s="145" t="s">
        <v>5</v>
      </c>
      <c r="G36" s="146" t="s">
        <v>5</v>
      </c>
      <c r="H36" s="175" t="s">
        <v>5</v>
      </c>
      <c r="I36" s="400" t="s">
        <v>5</v>
      </c>
      <c r="J36" s="396" t="s">
        <v>5</v>
      </c>
      <c r="K36" s="175" t="s">
        <v>5</v>
      </c>
      <c r="L36" s="400" t="s">
        <v>5</v>
      </c>
      <c r="M36" s="396" t="s">
        <v>5</v>
      </c>
      <c r="N36" s="175" t="s">
        <v>5</v>
      </c>
      <c r="O36" s="400" t="s">
        <v>5</v>
      </c>
      <c r="P36" s="396" t="s">
        <v>5</v>
      </c>
      <c r="Q36" s="175" t="s">
        <v>5</v>
      </c>
      <c r="R36" s="400" t="s">
        <v>5</v>
      </c>
      <c r="S36" s="396" t="s">
        <v>5</v>
      </c>
      <c r="T36" s="202" t="s">
        <v>5</v>
      </c>
      <c r="U36" s="28" t="s">
        <v>5</v>
      </c>
      <c r="V36" s="373" t="s">
        <v>5</v>
      </c>
      <c r="W36" s="4" t="str">
        <f t="shared" si="0"/>
        <v/>
      </c>
    </row>
    <row r="37" spans="1:23" ht="15" customHeight="1">
      <c r="A37" s="235" t="s">
        <v>17</v>
      </c>
      <c r="B37" s="267">
        <v>1</v>
      </c>
      <c r="C37" s="19" t="s">
        <v>7</v>
      </c>
      <c r="D37" s="302" t="s">
        <v>5</v>
      </c>
      <c r="E37" s="127">
        <f>0.11*100</f>
        <v>11</v>
      </c>
      <c r="F37" s="145" t="s">
        <v>5</v>
      </c>
      <c r="G37" s="146" t="s">
        <v>5</v>
      </c>
      <c r="H37" s="175" t="s">
        <v>5</v>
      </c>
      <c r="I37" s="400" t="s">
        <v>5</v>
      </c>
      <c r="J37" s="396" t="s">
        <v>5</v>
      </c>
      <c r="K37" s="175" t="s">
        <v>5</v>
      </c>
      <c r="L37" s="400" t="s">
        <v>5</v>
      </c>
      <c r="M37" s="396" t="s">
        <v>5</v>
      </c>
      <c r="N37" s="175" t="s">
        <v>5</v>
      </c>
      <c r="O37" s="400" t="s">
        <v>5</v>
      </c>
      <c r="P37" s="396" t="s">
        <v>5</v>
      </c>
      <c r="Q37" s="175" t="s">
        <v>5</v>
      </c>
      <c r="R37" s="400" t="s">
        <v>5</v>
      </c>
      <c r="S37" s="396" t="s">
        <v>5</v>
      </c>
      <c r="T37" s="202" t="s">
        <v>5</v>
      </c>
      <c r="U37" s="19" t="s">
        <v>6</v>
      </c>
      <c r="V37" s="371">
        <v>100</v>
      </c>
      <c r="W37" s="4" t="str">
        <f t="shared" si="0"/>
        <v>A</v>
      </c>
    </row>
    <row r="38" spans="1:23" ht="15" customHeight="1">
      <c r="A38" s="235" t="s">
        <v>51</v>
      </c>
      <c r="B38" s="266">
        <v>1</v>
      </c>
      <c r="C38" s="19" t="s">
        <v>7</v>
      </c>
      <c r="D38" s="304" t="s">
        <v>5</v>
      </c>
      <c r="E38" s="127">
        <f>(0.014+0.04+0.08)*100</f>
        <v>13.4</v>
      </c>
      <c r="F38" s="145" t="str">
        <f>"["&amp;ROUND(205.3,1)&amp;"]"</f>
        <v>[205.3]</v>
      </c>
      <c r="G38" s="146">
        <f>8327.82314280024/12</f>
        <v>693.98526190001996</v>
      </c>
      <c r="H38" s="498">
        <f>(0.04+0.08)*100</f>
        <v>12</v>
      </c>
      <c r="I38" s="400">
        <f>G38</f>
        <v>693.98526190001996</v>
      </c>
      <c r="J38" s="396">
        <f>12746.4648476399/12</f>
        <v>1062.2054039699917</v>
      </c>
      <c r="K38" s="498">
        <f>0.08*100</f>
        <v>8</v>
      </c>
      <c r="L38" s="400">
        <f>J38</f>
        <v>1062.2054039699917</v>
      </c>
      <c r="M38" s="396">
        <f>16655.6462856005/12</f>
        <v>1387.9705238000415</v>
      </c>
      <c r="N38" s="175" t="s">
        <v>5</v>
      </c>
      <c r="O38" s="400" t="s">
        <v>5</v>
      </c>
      <c r="P38" s="396" t="s">
        <v>5</v>
      </c>
      <c r="Q38" s="175" t="s">
        <v>5</v>
      </c>
      <c r="R38" s="400" t="s">
        <v>5</v>
      </c>
      <c r="S38" s="396" t="s">
        <v>5</v>
      </c>
      <c r="T38" s="202" t="s">
        <v>5</v>
      </c>
      <c r="U38" s="28" t="s">
        <v>6</v>
      </c>
      <c r="V38" s="373">
        <v>100</v>
      </c>
      <c r="W38" s="4" t="str">
        <f t="shared" si="0"/>
        <v>A</v>
      </c>
    </row>
    <row r="39" spans="1:23" ht="15" customHeight="1">
      <c r="A39" s="235" t="s">
        <v>59</v>
      </c>
      <c r="B39" s="267">
        <v>1</v>
      </c>
      <c r="C39" s="19" t="s">
        <v>7</v>
      </c>
      <c r="D39" s="303" t="s">
        <v>5</v>
      </c>
      <c r="E39" s="127">
        <f>0.221*100</f>
        <v>22.1</v>
      </c>
      <c r="F39" s="400" t="s">
        <v>5</v>
      </c>
      <c r="G39" s="396" t="s">
        <v>5</v>
      </c>
      <c r="H39" s="175" t="s">
        <v>5</v>
      </c>
      <c r="I39" s="400" t="s">
        <v>5</v>
      </c>
      <c r="J39" s="396" t="s">
        <v>5</v>
      </c>
      <c r="K39" s="175" t="s">
        <v>5</v>
      </c>
      <c r="L39" s="400" t="s">
        <v>5</v>
      </c>
      <c r="M39" s="396" t="s">
        <v>5</v>
      </c>
      <c r="N39" s="175" t="s">
        <v>5</v>
      </c>
      <c r="O39" s="400" t="s">
        <v>5</v>
      </c>
      <c r="P39" s="396" t="s">
        <v>5</v>
      </c>
      <c r="Q39" s="175" t="s">
        <v>5</v>
      </c>
      <c r="R39" s="400" t="s">
        <v>5</v>
      </c>
      <c r="S39" s="396" t="s">
        <v>5</v>
      </c>
      <c r="T39" s="199" t="s">
        <v>5</v>
      </c>
      <c r="U39" s="28" t="s">
        <v>6</v>
      </c>
      <c r="V39" s="373">
        <v>100</v>
      </c>
      <c r="W39" s="4" t="str">
        <f t="shared" si="0"/>
        <v>A</v>
      </c>
    </row>
    <row r="40" spans="1:23" ht="15" customHeight="1">
      <c r="A40" s="235" t="s">
        <v>213</v>
      </c>
      <c r="B40" s="267">
        <v>1</v>
      </c>
      <c r="C40" s="19" t="s">
        <v>8</v>
      </c>
      <c r="D40" s="302" t="s">
        <v>5</v>
      </c>
      <c r="E40" s="127">
        <f>(0.047+0.0155+0.001)*100</f>
        <v>6.35</v>
      </c>
      <c r="F40" s="145">
        <v>0</v>
      </c>
      <c r="G40" s="146">
        <v>32778</v>
      </c>
      <c r="H40" s="175" t="s">
        <v>5</v>
      </c>
      <c r="I40" s="400" t="s">
        <v>5</v>
      </c>
      <c r="J40" s="396" t="s">
        <v>5</v>
      </c>
      <c r="K40" s="175" t="s">
        <v>5</v>
      </c>
      <c r="L40" s="400" t="s">
        <v>5</v>
      </c>
      <c r="M40" s="396" t="s">
        <v>5</v>
      </c>
      <c r="N40" s="175" t="s">
        <v>5</v>
      </c>
      <c r="O40" s="400" t="s">
        <v>5</v>
      </c>
      <c r="P40" s="396" t="s">
        <v>5</v>
      </c>
      <c r="Q40" s="175" t="s">
        <v>5</v>
      </c>
      <c r="R40" s="400" t="s">
        <v>5</v>
      </c>
      <c r="S40" s="396" t="s">
        <v>5</v>
      </c>
      <c r="T40" s="196">
        <f>G40*(E40/100)</f>
        <v>2081.4030000000002</v>
      </c>
      <c r="U40" s="19" t="s">
        <v>6</v>
      </c>
      <c r="V40" s="371">
        <v>100</v>
      </c>
      <c r="W40" s="4" t="str">
        <f t="shared" si="0"/>
        <v>A</v>
      </c>
    </row>
    <row r="41" spans="1:23" ht="15" customHeight="1">
      <c r="A41" s="339" t="s">
        <v>73</v>
      </c>
      <c r="B41" s="266">
        <v>1</v>
      </c>
      <c r="C41" s="19" t="s">
        <v>8</v>
      </c>
      <c r="D41" s="303" t="s">
        <v>5</v>
      </c>
      <c r="E41" s="127">
        <f>0.07*100</f>
        <v>7.0000000000000009</v>
      </c>
      <c r="F41" s="145" t="str">
        <f>"["&amp;ROUND(0.423*39300,0)&amp;"]"</f>
        <v>[16624]</v>
      </c>
      <c r="G41" s="146">
        <f>8.07*42300</f>
        <v>341361</v>
      </c>
      <c r="H41" s="175" t="s">
        <v>5</v>
      </c>
      <c r="I41" s="400" t="s">
        <v>5</v>
      </c>
      <c r="J41" s="396" t="s">
        <v>5</v>
      </c>
      <c r="K41" s="175" t="s">
        <v>5</v>
      </c>
      <c r="L41" s="400" t="s">
        <v>5</v>
      </c>
      <c r="M41" s="396" t="s">
        <v>5</v>
      </c>
      <c r="N41" s="175" t="s">
        <v>5</v>
      </c>
      <c r="O41" s="400" t="s">
        <v>5</v>
      </c>
      <c r="P41" s="396" t="s">
        <v>5</v>
      </c>
      <c r="Q41" s="175" t="s">
        <v>5</v>
      </c>
      <c r="R41" s="400" t="s">
        <v>5</v>
      </c>
      <c r="S41" s="396" t="s">
        <v>5</v>
      </c>
      <c r="T41" s="196">
        <f>ROUND(E41*G41/100,-2)</f>
        <v>23900</v>
      </c>
      <c r="U41" s="19" t="s">
        <v>18</v>
      </c>
      <c r="V41" s="371">
        <v>25</v>
      </c>
      <c r="W41" s="4" t="str">
        <f t="shared" si="0"/>
        <v>AB</v>
      </c>
    </row>
    <row r="42" spans="1:23" ht="15" customHeight="1">
      <c r="A42" s="235" t="s">
        <v>74</v>
      </c>
      <c r="B42" s="267">
        <v>1</v>
      </c>
      <c r="C42" s="19" t="s">
        <v>8</v>
      </c>
      <c r="D42" s="303" t="s">
        <v>5</v>
      </c>
      <c r="E42" s="127">
        <f>(0.01*100)+H42</f>
        <v>6.0500000000000007</v>
      </c>
      <c r="F42" s="145">
        <v>0</v>
      </c>
      <c r="G42" s="146">
        <v>106800</v>
      </c>
      <c r="H42" s="127">
        <f>0.0505*100</f>
        <v>5.0500000000000007</v>
      </c>
      <c r="I42" s="145">
        <f>G42</f>
        <v>106800</v>
      </c>
      <c r="J42" s="396" t="s">
        <v>5</v>
      </c>
      <c r="K42" s="175" t="s">
        <v>5</v>
      </c>
      <c r="L42" s="400" t="s">
        <v>5</v>
      </c>
      <c r="M42" s="396" t="s">
        <v>5</v>
      </c>
      <c r="N42" s="175" t="s">
        <v>5</v>
      </c>
      <c r="O42" s="400" t="s">
        <v>5</v>
      </c>
      <c r="P42" s="396" t="s">
        <v>5</v>
      </c>
      <c r="Q42" s="175" t="s">
        <v>5</v>
      </c>
      <c r="R42" s="400" t="s">
        <v>5</v>
      </c>
      <c r="S42" s="396" t="s">
        <v>5</v>
      </c>
      <c r="T42" s="199" t="s">
        <v>5</v>
      </c>
      <c r="U42" s="19" t="s">
        <v>6</v>
      </c>
      <c r="V42" s="371">
        <v>100</v>
      </c>
      <c r="W42" s="4" t="str">
        <f t="shared" si="0"/>
        <v>A</v>
      </c>
    </row>
    <row r="43" spans="1:23" s="2" customFormat="1" ht="15" customHeight="1">
      <c r="A43" s="339" t="s">
        <v>32</v>
      </c>
      <c r="B43" s="266">
        <v>1</v>
      </c>
      <c r="C43" s="19" t="s">
        <v>8</v>
      </c>
      <c r="D43" s="302" t="s">
        <v>5</v>
      </c>
      <c r="E43" s="127">
        <v>15</v>
      </c>
      <c r="F43" s="145" t="str">
        <f>"/"&amp;ROUND(5202.9,0)&amp;"/"</f>
        <v>/5203/</v>
      </c>
      <c r="G43" s="393">
        <v>33810.75</v>
      </c>
      <c r="H43" s="175" t="s">
        <v>5</v>
      </c>
      <c r="I43" s="400" t="s">
        <v>5</v>
      </c>
      <c r="J43" s="396" t="s">
        <v>5</v>
      </c>
      <c r="K43" s="175" t="s">
        <v>5</v>
      </c>
      <c r="L43" s="400" t="s">
        <v>5</v>
      </c>
      <c r="M43" s="396" t="s">
        <v>5</v>
      </c>
      <c r="N43" s="175" t="s">
        <v>5</v>
      </c>
      <c r="O43" s="400" t="s">
        <v>5</v>
      </c>
      <c r="P43" s="396" t="s">
        <v>5</v>
      </c>
      <c r="Q43" s="175" t="s">
        <v>5</v>
      </c>
      <c r="R43" s="400" t="s">
        <v>5</v>
      </c>
      <c r="S43" s="396" t="s">
        <v>5</v>
      </c>
      <c r="T43" s="196">
        <f>G43*E43/100</f>
        <v>5071.6125000000002</v>
      </c>
      <c r="U43" s="19" t="s">
        <v>6</v>
      </c>
      <c r="V43" s="371">
        <v>100</v>
      </c>
      <c r="W43" s="4" t="str">
        <f t="shared" si="0"/>
        <v>A</v>
      </c>
    </row>
    <row r="44" spans="1:23" ht="15" customHeight="1">
      <c r="A44" s="235" t="s">
        <v>47</v>
      </c>
      <c r="B44" s="267">
        <v>1</v>
      </c>
      <c r="C44" s="19" t="s">
        <v>19</v>
      </c>
      <c r="D44" s="303" t="s">
        <v>5</v>
      </c>
      <c r="E44" s="127">
        <f>0.11*100</f>
        <v>11</v>
      </c>
      <c r="F44" s="114">
        <f>4745/52</f>
        <v>91.25</v>
      </c>
      <c r="G44" s="115">
        <f>31720/52</f>
        <v>610</v>
      </c>
      <c r="H44" s="127">
        <f>0.01*100</f>
        <v>1</v>
      </c>
      <c r="I44" s="145">
        <f>G44</f>
        <v>610</v>
      </c>
      <c r="J44" s="393" t="s">
        <v>5</v>
      </c>
      <c r="K44" s="120" t="s">
        <v>5</v>
      </c>
      <c r="L44" s="219" t="s">
        <v>5</v>
      </c>
      <c r="M44" s="180" t="s">
        <v>5</v>
      </c>
      <c r="N44" s="120" t="s">
        <v>5</v>
      </c>
      <c r="O44" s="219" t="s">
        <v>5</v>
      </c>
      <c r="P44" s="180" t="s">
        <v>5</v>
      </c>
      <c r="Q44" s="120" t="s">
        <v>5</v>
      </c>
      <c r="R44" s="219" t="s">
        <v>5</v>
      </c>
      <c r="S44" s="180" t="s">
        <v>5</v>
      </c>
      <c r="T44" s="199" t="s">
        <v>5</v>
      </c>
      <c r="U44" s="410" t="s">
        <v>5</v>
      </c>
      <c r="V44" s="372" t="s">
        <v>5</v>
      </c>
      <c r="W44" s="4" t="str">
        <f t="shared" si="0"/>
        <v/>
      </c>
    </row>
    <row r="45" spans="1:23" ht="15" customHeight="1">
      <c r="A45" s="246" t="s">
        <v>20</v>
      </c>
      <c r="B45" s="269">
        <v>1</v>
      </c>
      <c r="C45" s="292" t="s">
        <v>8</v>
      </c>
      <c r="D45" s="311" t="s">
        <v>5</v>
      </c>
      <c r="E45" s="293">
        <f>(0.062*100)+H45</f>
        <v>7.65</v>
      </c>
      <c r="F45" s="147">
        <v>0</v>
      </c>
      <c r="G45" s="148">
        <v>87900</v>
      </c>
      <c r="H45" s="293">
        <f>0.0145*100</f>
        <v>1.4500000000000002</v>
      </c>
      <c r="I45" s="147">
        <f>G45</f>
        <v>87900</v>
      </c>
      <c r="J45" s="158" t="s">
        <v>5</v>
      </c>
      <c r="K45" s="480" t="s">
        <v>5</v>
      </c>
      <c r="L45" s="481" t="s">
        <v>5</v>
      </c>
      <c r="M45" s="158" t="s">
        <v>5</v>
      </c>
      <c r="N45" s="480" t="s">
        <v>5</v>
      </c>
      <c r="O45" s="481" t="s">
        <v>5</v>
      </c>
      <c r="P45" s="158" t="s">
        <v>5</v>
      </c>
      <c r="Q45" s="480" t="s">
        <v>5</v>
      </c>
      <c r="R45" s="481" t="s">
        <v>5</v>
      </c>
      <c r="S45" s="158" t="s">
        <v>5</v>
      </c>
      <c r="T45" s="403" t="s">
        <v>5</v>
      </c>
      <c r="U45" s="249" t="s">
        <v>5</v>
      </c>
      <c r="V45" s="380" t="s">
        <v>5</v>
      </c>
      <c r="W45" s="4" t="str">
        <f t="shared" si="0"/>
        <v/>
      </c>
    </row>
    <row r="46" spans="1:23" ht="15" customHeight="1">
      <c r="A46" s="176"/>
      <c r="B46" s="169"/>
      <c r="C46" s="19"/>
      <c r="D46" s="132"/>
      <c r="E46" s="127"/>
      <c r="F46" s="152"/>
      <c r="G46" s="151"/>
      <c r="H46" s="151"/>
      <c r="I46" s="151"/>
      <c r="J46" s="151"/>
      <c r="K46" s="151"/>
      <c r="L46" s="151"/>
      <c r="M46" s="151"/>
      <c r="N46" s="151"/>
      <c r="O46" s="151"/>
      <c r="P46" s="151"/>
      <c r="Q46" s="151"/>
      <c r="R46" s="151"/>
      <c r="S46" s="151"/>
      <c r="T46" s="157"/>
      <c r="U46" s="54"/>
      <c r="V46" s="55"/>
    </row>
    <row r="47" spans="1:23" s="75" customFormat="1" ht="12.75" customHeight="1">
      <c r="A47" s="553" t="s">
        <v>94</v>
      </c>
      <c r="B47" s="553"/>
      <c r="C47" s="553"/>
      <c r="D47" s="554"/>
      <c r="E47" s="553"/>
      <c r="F47" s="553"/>
      <c r="G47" s="553"/>
      <c r="H47" s="553"/>
      <c r="I47" s="553"/>
      <c r="J47" s="553"/>
      <c r="K47" s="553"/>
      <c r="L47" s="553"/>
      <c r="M47" s="553"/>
      <c r="N47" s="553"/>
      <c r="O47" s="553"/>
      <c r="P47" s="553"/>
      <c r="Q47" s="553"/>
      <c r="R47" s="553"/>
      <c r="S47" s="553"/>
      <c r="T47" s="555"/>
      <c r="U47" s="556"/>
      <c r="V47" s="556"/>
    </row>
    <row r="48" spans="1:23" s="76" customFormat="1" ht="12.75" customHeight="1">
      <c r="A48" s="539" t="s">
        <v>95</v>
      </c>
      <c r="B48" s="539"/>
      <c r="C48" s="539"/>
      <c r="D48" s="550"/>
      <c r="E48" s="550"/>
      <c r="F48" s="550"/>
      <c r="G48" s="550"/>
      <c r="H48" s="550"/>
      <c r="I48" s="550"/>
      <c r="J48" s="550"/>
      <c r="K48" s="550"/>
      <c r="L48" s="550"/>
      <c r="M48" s="550"/>
      <c r="N48" s="550"/>
      <c r="O48" s="550"/>
      <c r="P48" s="550"/>
      <c r="Q48" s="550"/>
      <c r="R48" s="550"/>
      <c r="S48" s="550"/>
      <c r="T48" s="550"/>
      <c r="U48" s="551"/>
      <c r="V48" s="551"/>
    </row>
    <row r="49" spans="1:33" s="76" customFormat="1" ht="12.75" customHeight="1">
      <c r="A49" s="539" t="s">
        <v>107</v>
      </c>
      <c r="B49" s="539"/>
      <c r="C49" s="539"/>
      <c r="D49" s="550"/>
      <c r="E49" s="550"/>
      <c r="F49" s="550"/>
      <c r="G49" s="550"/>
      <c r="H49" s="550"/>
      <c r="I49" s="550"/>
      <c r="J49" s="550"/>
      <c r="K49" s="550"/>
      <c r="L49" s="550"/>
      <c r="M49" s="550"/>
      <c r="N49" s="550"/>
      <c r="O49" s="550"/>
      <c r="P49" s="550"/>
      <c r="Q49" s="550"/>
      <c r="R49" s="550"/>
      <c r="S49" s="550"/>
      <c r="T49" s="550"/>
      <c r="U49" s="551"/>
      <c r="V49" s="551"/>
    </row>
    <row r="50" spans="1:33" s="76" customFormat="1" ht="12.75" customHeight="1">
      <c r="A50" s="539" t="s">
        <v>108</v>
      </c>
      <c r="B50" s="539"/>
      <c r="C50" s="539"/>
      <c r="D50" s="550"/>
      <c r="E50" s="550"/>
      <c r="F50" s="550"/>
      <c r="G50" s="550"/>
      <c r="H50" s="550"/>
      <c r="I50" s="550"/>
      <c r="J50" s="550"/>
      <c r="K50" s="550"/>
      <c r="L50" s="550"/>
      <c r="M50" s="550"/>
      <c r="N50" s="550"/>
      <c r="O50" s="550"/>
      <c r="P50" s="550"/>
      <c r="Q50" s="550"/>
      <c r="R50" s="550"/>
      <c r="S50" s="550"/>
      <c r="T50" s="550"/>
      <c r="U50" s="551"/>
      <c r="V50" s="551"/>
    </row>
    <row r="51" spans="1:33" s="76" customFormat="1" ht="12.75" customHeight="1">
      <c r="A51" s="516" t="s">
        <v>1</v>
      </c>
      <c r="B51" s="84" t="s">
        <v>122</v>
      </c>
      <c r="C51" s="509" t="s">
        <v>123</v>
      </c>
      <c r="D51" s="103"/>
      <c r="E51" s="103"/>
      <c r="F51" s="104"/>
      <c r="U51" s="99"/>
      <c r="V51" s="99"/>
    </row>
    <row r="52" spans="1:33" s="76" customFormat="1" ht="12.75" customHeight="1">
      <c r="A52" s="517"/>
      <c r="B52" s="85" t="s">
        <v>124</v>
      </c>
      <c r="C52" s="510" t="s">
        <v>126</v>
      </c>
      <c r="D52" s="105"/>
      <c r="E52" s="105"/>
      <c r="F52" s="106"/>
      <c r="U52" s="83"/>
      <c r="V52" s="83"/>
    </row>
    <row r="53" spans="1:33" s="76" customFormat="1" ht="12.75" customHeight="1">
      <c r="A53" s="517"/>
      <c r="B53" s="86" t="s">
        <v>125</v>
      </c>
      <c r="C53" s="511" t="s">
        <v>136</v>
      </c>
      <c r="D53" s="107"/>
      <c r="E53" s="107"/>
      <c r="F53" s="108"/>
      <c r="U53" s="83"/>
      <c r="V53" s="83"/>
    </row>
    <row r="54" spans="1:33" s="76" customFormat="1" ht="12.75" customHeight="1">
      <c r="A54" s="517"/>
      <c r="C54" s="78"/>
      <c r="D54" s="93"/>
      <c r="E54" s="93"/>
      <c r="F54" s="93"/>
      <c r="U54" s="83"/>
      <c r="V54" s="83"/>
    </row>
    <row r="55" spans="1:33" s="76" customFormat="1" ht="12.75" customHeight="1">
      <c r="A55" s="518" t="s">
        <v>127</v>
      </c>
      <c r="B55" s="84" t="s">
        <v>128</v>
      </c>
      <c r="C55" s="509" t="s">
        <v>129</v>
      </c>
      <c r="D55" s="103"/>
      <c r="E55" s="103"/>
      <c r="F55" s="104"/>
      <c r="U55" s="99"/>
      <c r="V55" s="99"/>
    </row>
    <row r="56" spans="1:33" s="76" customFormat="1" ht="12.75" customHeight="1">
      <c r="A56" s="517"/>
      <c r="B56" s="85" t="s">
        <v>130</v>
      </c>
      <c r="C56" s="510" t="s">
        <v>133</v>
      </c>
      <c r="D56" s="105"/>
      <c r="E56" s="105"/>
      <c r="F56" s="106"/>
      <c r="U56" s="83"/>
      <c r="V56" s="83"/>
    </row>
    <row r="57" spans="1:33" s="76" customFormat="1" ht="12.75" customHeight="1">
      <c r="A57" s="517"/>
      <c r="B57" s="85" t="s">
        <v>131</v>
      </c>
      <c r="C57" s="510" t="s">
        <v>132</v>
      </c>
      <c r="D57" s="105"/>
      <c r="E57" s="105"/>
      <c r="F57" s="106"/>
      <c r="U57" s="83"/>
      <c r="V57" s="83"/>
    </row>
    <row r="58" spans="1:33" s="76" customFormat="1" ht="12.75" customHeight="1">
      <c r="A58" s="517"/>
      <c r="B58" s="85" t="s">
        <v>134</v>
      </c>
      <c r="C58" s="510" t="s">
        <v>135</v>
      </c>
      <c r="D58" s="105"/>
      <c r="E58" s="105"/>
      <c r="F58" s="106"/>
      <c r="U58" s="83"/>
      <c r="V58" s="83"/>
    </row>
    <row r="59" spans="1:33" s="76" customFormat="1" ht="12.75" customHeight="1">
      <c r="A59" s="519"/>
      <c r="B59" s="86" t="s">
        <v>28</v>
      </c>
      <c r="C59" s="511" t="s">
        <v>214</v>
      </c>
      <c r="D59" s="109"/>
      <c r="E59" s="109"/>
      <c r="F59" s="110"/>
      <c r="U59" s="83"/>
      <c r="V59" s="83"/>
    </row>
    <row r="60" spans="1:33" s="76" customFormat="1" ht="12.75" customHeight="1">
      <c r="A60" s="520"/>
      <c r="B60" s="78"/>
      <c r="C60" s="78"/>
      <c r="D60" s="83"/>
      <c r="F60" s="83"/>
      <c r="G60" s="83"/>
      <c r="H60" s="83"/>
      <c r="I60" s="83"/>
      <c r="J60" s="83"/>
      <c r="K60" s="83"/>
      <c r="L60" s="83"/>
      <c r="M60" s="83"/>
      <c r="N60" s="83"/>
      <c r="O60" s="83"/>
      <c r="P60" s="83"/>
      <c r="Q60" s="83"/>
      <c r="R60" s="83"/>
      <c r="S60" s="83"/>
      <c r="T60" s="83"/>
      <c r="U60" s="83"/>
      <c r="V60" s="83"/>
    </row>
    <row r="61" spans="1:33" s="76" customFormat="1">
      <c r="A61" s="540" t="s">
        <v>96</v>
      </c>
      <c r="B61" s="540"/>
      <c r="C61" s="540"/>
      <c r="D61" s="540"/>
      <c r="E61" s="540"/>
      <c r="F61" s="540"/>
      <c r="G61" s="540"/>
      <c r="H61" s="540"/>
      <c r="I61" s="540"/>
      <c r="J61" s="540"/>
      <c r="K61" s="540"/>
      <c r="L61" s="540"/>
      <c r="M61" s="540"/>
      <c r="N61" s="540"/>
      <c r="O61" s="540"/>
      <c r="P61" s="540"/>
      <c r="Q61" s="540"/>
      <c r="R61" s="540"/>
      <c r="S61" s="540"/>
      <c r="T61" s="540"/>
      <c r="U61" s="540"/>
      <c r="V61" s="540"/>
    </row>
    <row r="62" spans="1:33" s="76" customFormat="1">
      <c r="A62" s="539" t="s">
        <v>97</v>
      </c>
      <c r="B62" s="539"/>
      <c r="C62" s="539"/>
      <c r="D62" s="539"/>
      <c r="E62" s="539"/>
      <c r="F62" s="539"/>
      <c r="G62" s="539"/>
      <c r="H62" s="539"/>
      <c r="I62" s="539"/>
      <c r="J62" s="539"/>
      <c r="K62" s="539"/>
      <c r="L62" s="539"/>
      <c r="M62" s="539"/>
      <c r="N62" s="539"/>
      <c r="O62" s="539"/>
      <c r="P62" s="539"/>
      <c r="Q62" s="539"/>
      <c r="R62" s="539"/>
      <c r="S62" s="539"/>
      <c r="T62" s="539"/>
      <c r="U62" s="539"/>
      <c r="V62" s="539"/>
    </row>
    <row r="63" spans="1:33" s="76" customFormat="1" ht="22.5" customHeight="1">
      <c r="A63" s="521" t="s">
        <v>98</v>
      </c>
      <c r="B63" s="177"/>
      <c r="C63" s="512"/>
      <c r="D63" s="177"/>
      <c r="E63" s="177"/>
      <c r="F63" s="177"/>
      <c r="G63" s="177"/>
      <c r="H63" s="177"/>
      <c r="I63" s="177"/>
      <c r="J63" s="177"/>
      <c r="K63" s="177"/>
      <c r="L63" s="177"/>
      <c r="M63" s="177"/>
      <c r="N63" s="177"/>
      <c r="O63" s="177"/>
      <c r="P63" s="177"/>
      <c r="Q63" s="177"/>
      <c r="R63" s="177"/>
      <c r="S63" s="177"/>
      <c r="T63" s="177"/>
      <c r="U63" s="177"/>
      <c r="V63" s="177"/>
    </row>
    <row r="64" spans="1:33" s="76" customFormat="1" ht="50.25" customHeight="1">
      <c r="A64" s="539" t="s">
        <v>238</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22.5" customHeight="1">
      <c r="A65" s="539" t="s">
        <v>226</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35.25" customHeight="1">
      <c r="A66" s="539" t="s">
        <v>227</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65.25" customHeight="1">
      <c r="A67" s="539" t="s">
        <v>228</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132" customHeight="1">
      <c r="A68" s="539" t="s">
        <v>229</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50.25" customHeight="1">
      <c r="A69" s="539" t="s">
        <v>230</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ht="27.75" customHeight="1">
      <c r="A71" s="543" t="s">
        <v>269</v>
      </c>
      <c r="B71" s="543"/>
      <c r="C71" s="543"/>
      <c r="D71" s="543"/>
      <c r="E71" s="543"/>
      <c r="F71" s="543"/>
      <c r="G71" s="543"/>
      <c r="H71" s="543"/>
      <c r="I71" s="543"/>
      <c r="J71" s="543"/>
      <c r="K71" s="543"/>
      <c r="L71" s="543"/>
      <c r="M71" s="543"/>
      <c r="N71" s="543"/>
      <c r="O71" s="543"/>
      <c r="P71" s="543"/>
      <c r="Q71" s="543"/>
      <c r="R71" s="543"/>
      <c r="S71" s="543"/>
      <c r="T71" s="543"/>
      <c r="U71" s="543"/>
      <c r="V71" s="543"/>
    </row>
    <row r="72" spans="1:33" ht="27.75" customHeight="1">
      <c r="A72" s="543" t="s">
        <v>137</v>
      </c>
      <c r="B72" s="543"/>
      <c r="C72" s="543"/>
      <c r="D72" s="543"/>
      <c r="E72" s="543"/>
      <c r="F72" s="543"/>
      <c r="G72" s="543"/>
      <c r="H72" s="543"/>
      <c r="I72" s="543"/>
      <c r="J72" s="543"/>
      <c r="K72" s="543"/>
      <c r="L72" s="543"/>
      <c r="M72" s="543"/>
      <c r="N72" s="543"/>
      <c r="O72" s="543"/>
      <c r="P72" s="543"/>
      <c r="Q72" s="543"/>
      <c r="R72" s="543"/>
      <c r="S72" s="543"/>
      <c r="T72" s="543"/>
      <c r="U72" s="543"/>
      <c r="V72" s="543"/>
    </row>
    <row r="73" spans="1:33" ht="33" customHeight="1">
      <c r="A73" s="543" t="s">
        <v>138</v>
      </c>
      <c r="B73" s="543"/>
      <c r="C73" s="543"/>
      <c r="D73" s="543"/>
      <c r="E73" s="543"/>
      <c r="F73" s="543"/>
      <c r="G73" s="543"/>
      <c r="H73" s="543"/>
      <c r="I73" s="543"/>
      <c r="J73" s="543"/>
      <c r="K73" s="543"/>
      <c r="L73" s="543"/>
      <c r="M73" s="543"/>
      <c r="N73" s="543"/>
      <c r="O73" s="543"/>
      <c r="P73" s="543"/>
      <c r="Q73" s="543"/>
      <c r="R73" s="543"/>
      <c r="S73" s="543"/>
      <c r="T73" s="543"/>
      <c r="U73" s="543"/>
      <c r="V73" s="543"/>
    </row>
    <row r="74" spans="1:33" ht="33" customHeight="1">
      <c r="A74" s="543" t="s">
        <v>139</v>
      </c>
      <c r="B74" s="543"/>
      <c r="C74" s="543"/>
      <c r="D74" s="543"/>
      <c r="E74" s="543"/>
      <c r="F74" s="543"/>
      <c r="G74" s="543"/>
      <c r="H74" s="543"/>
      <c r="I74" s="543"/>
      <c r="J74" s="543"/>
      <c r="K74" s="543"/>
      <c r="L74" s="543"/>
      <c r="M74" s="543"/>
      <c r="N74" s="543"/>
      <c r="O74" s="543"/>
      <c r="P74" s="543"/>
      <c r="Q74" s="543"/>
      <c r="R74" s="543"/>
      <c r="S74" s="543"/>
      <c r="T74" s="543"/>
      <c r="U74" s="543"/>
      <c r="V74" s="543"/>
    </row>
    <row r="75" spans="1:33" ht="27.75" customHeight="1">
      <c r="A75" s="543" t="s">
        <v>166</v>
      </c>
      <c r="B75" s="543"/>
      <c r="C75" s="543"/>
      <c r="D75" s="543"/>
      <c r="E75" s="543"/>
      <c r="F75" s="543"/>
      <c r="G75" s="543"/>
      <c r="H75" s="543"/>
      <c r="I75" s="543"/>
      <c r="J75" s="543"/>
      <c r="K75" s="543"/>
      <c r="L75" s="543"/>
      <c r="M75" s="543"/>
      <c r="N75" s="543"/>
      <c r="O75" s="543"/>
      <c r="P75" s="543"/>
      <c r="Q75" s="543"/>
      <c r="R75" s="543"/>
      <c r="S75" s="543"/>
      <c r="T75" s="543"/>
      <c r="U75" s="543"/>
      <c r="V75" s="543"/>
    </row>
    <row r="76" spans="1:33" s="76" customFormat="1" ht="20.25" customHeight="1">
      <c r="A76" s="540" t="s">
        <v>217</v>
      </c>
      <c r="B76" s="540"/>
      <c r="C76" s="540"/>
      <c r="D76" s="540"/>
      <c r="E76" s="540"/>
      <c r="F76" s="540"/>
      <c r="G76" s="540"/>
      <c r="H76" s="540"/>
      <c r="I76" s="540"/>
      <c r="J76" s="540"/>
      <c r="K76" s="540"/>
      <c r="L76" s="540"/>
      <c r="M76" s="540"/>
      <c r="N76" s="540"/>
      <c r="O76" s="540"/>
      <c r="P76" s="540"/>
      <c r="Q76" s="540"/>
      <c r="R76" s="540"/>
      <c r="S76" s="540"/>
      <c r="T76" s="540"/>
      <c r="U76" s="540"/>
      <c r="V76" s="540"/>
    </row>
    <row r="77" spans="1:33" ht="40.5" customHeight="1">
      <c r="A77" s="543" t="s">
        <v>240</v>
      </c>
      <c r="B77" s="543"/>
      <c r="C77" s="543"/>
      <c r="D77" s="543"/>
      <c r="E77" s="543"/>
      <c r="F77" s="543"/>
      <c r="G77" s="543"/>
      <c r="H77" s="543"/>
      <c r="I77" s="543"/>
      <c r="J77" s="543"/>
      <c r="K77" s="543"/>
      <c r="L77" s="543"/>
      <c r="M77" s="543"/>
      <c r="N77" s="543"/>
      <c r="O77" s="543"/>
      <c r="P77" s="543"/>
      <c r="Q77" s="543"/>
      <c r="R77" s="543"/>
      <c r="S77" s="543"/>
      <c r="T77" s="543"/>
      <c r="U77" s="543"/>
      <c r="V77" s="543"/>
    </row>
    <row r="78" spans="1:33" ht="51.75" customHeight="1">
      <c r="A78" s="543" t="s">
        <v>141</v>
      </c>
      <c r="B78" s="543"/>
      <c r="C78" s="543"/>
      <c r="D78" s="543"/>
      <c r="E78" s="543"/>
      <c r="F78" s="543"/>
      <c r="G78" s="543"/>
      <c r="H78" s="543"/>
      <c r="I78" s="543"/>
      <c r="J78" s="543"/>
      <c r="K78" s="543"/>
      <c r="L78" s="543"/>
      <c r="M78" s="543"/>
      <c r="N78" s="543"/>
      <c r="O78" s="543"/>
      <c r="P78" s="543"/>
      <c r="Q78" s="543"/>
      <c r="R78" s="543"/>
      <c r="S78" s="543"/>
      <c r="T78" s="543"/>
      <c r="U78" s="543"/>
      <c r="V78" s="543"/>
    </row>
    <row r="79" spans="1:33" ht="58.5" customHeight="1">
      <c r="A79" s="543" t="s">
        <v>160</v>
      </c>
      <c r="B79" s="543"/>
      <c r="C79" s="543"/>
      <c r="D79" s="543"/>
      <c r="E79" s="543"/>
      <c r="F79" s="543"/>
      <c r="G79" s="543"/>
      <c r="H79" s="543"/>
      <c r="I79" s="543"/>
      <c r="J79" s="543"/>
      <c r="K79" s="543"/>
      <c r="L79" s="543"/>
      <c r="M79" s="543"/>
      <c r="N79" s="543"/>
      <c r="O79" s="543"/>
      <c r="P79" s="543"/>
      <c r="Q79" s="543"/>
      <c r="R79" s="543"/>
      <c r="S79" s="543"/>
      <c r="T79" s="543"/>
      <c r="U79" s="543"/>
      <c r="V79" s="543"/>
    </row>
    <row r="80" spans="1:33" ht="27.75" customHeight="1">
      <c r="A80" s="543" t="s">
        <v>167</v>
      </c>
      <c r="B80" s="543"/>
      <c r="C80" s="543"/>
      <c r="D80" s="543"/>
      <c r="E80" s="543"/>
      <c r="F80" s="543"/>
      <c r="G80" s="543"/>
      <c r="H80" s="543"/>
      <c r="I80" s="543"/>
      <c r="J80" s="543"/>
      <c r="K80" s="543"/>
      <c r="L80" s="543"/>
      <c r="M80" s="543"/>
      <c r="N80" s="543"/>
      <c r="O80" s="543"/>
      <c r="P80" s="543"/>
      <c r="Q80" s="543"/>
      <c r="R80" s="543"/>
      <c r="S80" s="543"/>
      <c r="T80" s="543"/>
      <c r="U80" s="543"/>
      <c r="V80" s="543"/>
    </row>
    <row r="81" spans="1:22" ht="48.75" customHeight="1">
      <c r="A81" s="543" t="s">
        <v>168</v>
      </c>
      <c r="B81" s="543"/>
      <c r="C81" s="543"/>
      <c r="D81" s="543"/>
      <c r="E81" s="543"/>
      <c r="F81" s="543"/>
      <c r="G81" s="543"/>
      <c r="H81" s="543"/>
      <c r="I81" s="543"/>
      <c r="J81" s="543"/>
      <c r="K81" s="543"/>
      <c r="L81" s="543"/>
      <c r="M81" s="543"/>
      <c r="N81" s="543"/>
      <c r="O81" s="543"/>
      <c r="P81" s="543"/>
      <c r="Q81" s="543"/>
      <c r="R81" s="543"/>
      <c r="S81" s="543"/>
      <c r="T81" s="543"/>
      <c r="U81" s="543"/>
      <c r="V81" s="543"/>
    </row>
    <row r="82" spans="1:22" ht="27.75" customHeight="1">
      <c r="A82" s="543" t="s">
        <v>145</v>
      </c>
      <c r="B82" s="543"/>
      <c r="C82" s="543"/>
      <c r="D82" s="543"/>
      <c r="E82" s="543"/>
      <c r="F82" s="543"/>
      <c r="G82" s="543"/>
      <c r="H82" s="543"/>
      <c r="I82" s="543"/>
      <c r="J82" s="543"/>
      <c r="K82" s="543"/>
      <c r="L82" s="543"/>
      <c r="M82" s="543"/>
      <c r="N82" s="543"/>
      <c r="O82" s="543"/>
      <c r="P82" s="543"/>
      <c r="Q82" s="543"/>
      <c r="R82" s="543"/>
      <c r="S82" s="543"/>
      <c r="T82" s="543"/>
      <c r="U82" s="543"/>
      <c r="V82" s="543"/>
    </row>
    <row r="83" spans="1:22" ht="35.25" customHeight="1">
      <c r="A83" s="543" t="s">
        <v>169</v>
      </c>
      <c r="B83" s="543"/>
      <c r="C83" s="543"/>
      <c r="D83" s="543"/>
      <c r="E83" s="543"/>
      <c r="F83" s="543"/>
      <c r="G83" s="543"/>
      <c r="H83" s="543"/>
      <c r="I83" s="543"/>
      <c r="J83" s="543"/>
      <c r="K83" s="543"/>
      <c r="L83" s="543"/>
      <c r="M83" s="543"/>
      <c r="N83" s="543"/>
      <c r="O83" s="543"/>
      <c r="P83" s="543"/>
      <c r="Q83" s="543"/>
      <c r="R83" s="543"/>
      <c r="S83" s="543"/>
      <c r="T83" s="543"/>
      <c r="U83" s="543"/>
      <c r="V83" s="543"/>
    </row>
    <row r="84" spans="1:22" ht="17.25" customHeight="1">
      <c r="A84" s="543" t="s">
        <v>222</v>
      </c>
      <c r="B84" s="543"/>
      <c r="C84" s="543"/>
      <c r="D84" s="543"/>
      <c r="E84" s="543"/>
      <c r="F84" s="543"/>
      <c r="G84" s="543"/>
      <c r="H84" s="543"/>
      <c r="I84" s="543"/>
      <c r="J84" s="543"/>
      <c r="K84" s="543"/>
      <c r="L84" s="543"/>
      <c r="M84" s="543"/>
      <c r="N84" s="543"/>
      <c r="O84" s="543"/>
      <c r="P84" s="543"/>
      <c r="Q84" s="543"/>
      <c r="R84" s="543"/>
      <c r="S84" s="543"/>
      <c r="T84" s="543"/>
      <c r="U84" s="543"/>
      <c r="V84" s="543"/>
    </row>
    <row r="85" spans="1:22" ht="21" customHeight="1">
      <c r="A85" s="543" t="s">
        <v>157</v>
      </c>
      <c r="B85" s="543"/>
      <c r="C85" s="543"/>
      <c r="D85" s="543"/>
      <c r="E85" s="543"/>
      <c r="F85" s="543"/>
      <c r="G85" s="543"/>
      <c r="H85" s="543"/>
      <c r="I85" s="543"/>
      <c r="J85" s="543"/>
      <c r="K85" s="543"/>
      <c r="L85" s="543"/>
      <c r="M85" s="543"/>
      <c r="N85" s="543"/>
      <c r="O85" s="543"/>
      <c r="P85" s="543"/>
      <c r="Q85" s="543"/>
      <c r="R85" s="543"/>
      <c r="S85" s="543"/>
      <c r="T85" s="543"/>
      <c r="U85" s="543"/>
      <c r="V85" s="543"/>
    </row>
    <row r="86" spans="1:22" ht="24.75" customHeight="1">
      <c r="A86" s="543" t="s">
        <v>100</v>
      </c>
      <c r="B86" s="543"/>
      <c r="C86" s="543"/>
      <c r="D86" s="543"/>
      <c r="E86" s="543"/>
      <c r="F86" s="543"/>
      <c r="G86" s="543"/>
      <c r="H86" s="543"/>
      <c r="I86" s="543"/>
      <c r="J86" s="543"/>
      <c r="K86" s="543"/>
      <c r="L86" s="543"/>
      <c r="M86" s="543"/>
      <c r="N86" s="543"/>
      <c r="O86" s="543"/>
      <c r="P86" s="543"/>
      <c r="Q86" s="543"/>
      <c r="R86" s="543"/>
      <c r="S86" s="543"/>
      <c r="T86" s="543"/>
      <c r="U86" s="543"/>
      <c r="V86" s="543"/>
    </row>
    <row r="87" spans="1:22" ht="34.5" customHeight="1">
      <c r="A87" s="544" t="s">
        <v>148</v>
      </c>
      <c r="B87" s="544"/>
      <c r="C87" s="544"/>
      <c r="D87" s="544"/>
      <c r="E87" s="544"/>
      <c r="F87" s="544"/>
      <c r="G87" s="544"/>
      <c r="H87" s="544"/>
      <c r="I87" s="544"/>
      <c r="J87" s="544"/>
      <c r="K87" s="544"/>
      <c r="L87" s="544"/>
      <c r="M87" s="544"/>
      <c r="N87" s="544"/>
      <c r="O87" s="544"/>
      <c r="P87" s="544"/>
      <c r="Q87" s="544"/>
      <c r="R87" s="544"/>
      <c r="S87" s="544"/>
      <c r="T87" s="544"/>
      <c r="U87" s="544"/>
      <c r="V87" s="544"/>
    </row>
    <row r="88" spans="1:22" ht="17.25" customHeight="1">
      <c r="A88" s="543" t="s">
        <v>149</v>
      </c>
      <c r="B88" s="543"/>
      <c r="C88" s="543"/>
      <c r="D88" s="543"/>
      <c r="E88" s="543"/>
      <c r="F88" s="543"/>
      <c r="G88" s="543"/>
      <c r="H88" s="543"/>
      <c r="I88" s="543"/>
      <c r="J88" s="543"/>
      <c r="K88" s="543"/>
      <c r="L88" s="543"/>
      <c r="M88" s="543"/>
      <c r="N88" s="543"/>
      <c r="O88" s="543"/>
      <c r="P88" s="543"/>
      <c r="Q88" s="543"/>
      <c r="R88" s="543"/>
      <c r="S88" s="543"/>
      <c r="T88" s="543"/>
      <c r="U88" s="543"/>
      <c r="V88" s="543"/>
    </row>
    <row r="89" spans="1:22" ht="76.5" customHeight="1">
      <c r="A89" s="544" t="s">
        <v>101</v>
      </c>
      <c r="B89" s="544"/>
      <c r="C89" s="544"/>
      <c r="D89" s="544"/>
      <c r="E89" s="544"/>
      <c r="F89" s="544"/>
      <c r="G89" s="544"/>
      <c r="H89" s="544"/>
      <c r="I89" s="544"/>
      <c r="J89" s="544"/>
      <c r="K89" s="544"/>
      <c r="L89" s="544"/>
      <c r="M89" s="544"/>
      <c r="N89" s="544"/>
      <c r="O89" s="544"/>
      <c r="P89" s="544"/>
      <c r="Q89" s="544"/>
      <c r="R89" s="544"/>
      <c r="S89" s="544"/>
      <c r="T89" s="544"/>
      <c r="U89" s="544"/>
      <c r="V89" s="544"/>
    </row>
  </sheetData>
  <mergeCells count="37">
    <mergeCell ref="A47:V47"/>
    <mergeCell ref="A48:V48"/>
    <mergeCell ref="A49:V49"/>
    <mergeCell ref="A50:V50"/>
    <mergeCell ref="A70:V70"/>
    <mergeCell ref="A71:V71"/>
    <mergeCell ref="A61:V61"/>
    <mergeCell ref="A62:V62"/>
    <mergeCell ref="A64:V64"/>
    <mergeCell ref="A65:V65"/>
    <mergeCell ref="A66:V66"/>
    <mergeCell ref="A67:V67"/>
    <mergeCell ref="A68:V68"/>
    <mergeCell ref="A69:V69"/>
    <mergeCell ref="A72:V72"/>
    <mergeCell ref="A73:V73"/>
    <mergeCell ref="A74:V74"/>
    <mergeCell ref="A75:V75"/>
    <mergeCell ref="A77:V77"/>
    <mergeCell ref="A76:V76"/>
    <mergeCell ref="A78:V78"/>
    <mergeCell ref="A79:V79"/>
    <mergeCell ref="A80:V80"/>
    <mergeCell ref="A81:V81"/>
    <mergeCell ref="A82:V82"/>
    <mergeCell ref="A83:V83"/>
    <mergeCell ref="A88:V88"/>
    <mergeCell ref="A89:V89"/>
    <mergeCell ref="A84:V84"/>
    <mergeCell ref="A85:V85"/>
    <mergeCell ref="A86:V86"/>
    <mergeCell ref="A87:V87"/>
    <mergeCell ref="F3:G3"/>
    <mergeCell ref="I3:J3"/>
    <mergeCell ref="L3:M3"/>
    <mergeCell ref="O3:P3"/>
    <mergeCell ref="R3:S3"/>
  </mergeCells>
  <phoneticPr fontId="5" type="noConversion"/>
  <pageMargins left="0.75" right="0.75" top="1" bottom="1" header="0.5" footer="0.5"/>
  <pageSetup paperSize="9"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G89"/>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31" customWidth="1"/>
    <col min="5" max="5" width="8.7109375" style="2" customWidth="1"/>
    <col min="6" max="7" width="12.7109375" style="2" customWidth="1"/>
    <col min="8" max="8" width="8.7109375" style="2" customWidth="1"/>
    <col min="9" max="10" width="12.7109375" style="2" customWidth="1"/>
    <col min="11" max="11" width="8.7109375" style="2" customWidth="1"/>
    <col min="12" max="13" width="12.7109375" style="2" customWidth="1"/>
    <col min="14" max="14" width="8.7109375" style="2" customWidth="1"/>
    <col min="15" max="16" width="12.7109375" style="2" customWidth="1"/>
    <col min="17" max="17" width="8.7109375" style="2" customWidth="1"/>
    <col min="18" max="19" width="12.7109375" style="2" customWidth="1"/>
    <col min="20" max="20" width="12.7109375" style="11" customWidth="1"/>
    <col min="21" max="21" width="7.140625" style="2" bestFit="1" customWidth="1"/>
    <col min="22" max="22" width="15.42578125" style="13" customWidth="1"/>
    <col min="23" max="23" width="12.7109375" style="4" hidden="1" customWidth="1"/>
    <col min="24" max="29" width="12.7109375" style="4" customWidth="1"/>
    <col min="30" max="16384" width="9.140625" style="4"/>
  </cols>
  <sheetData>
    <row r="1" spans="1:23" s="43" customFormat="1" ht="30" customHeight="1">
      <c r="A1" s="514" t="s">
        <v>27</v>
      </c>
      <c r="B1" s="102"/>
      <c r="C1" s="508"/>
      <c r="D1" s="50"/>
      <c r="E1" s="45"/>
      <c r="F1" s="45"/>
      <c r="G1" s="45"/>
      <c r="H1" s="45"/>
      <c r="I1" s="45"/>
      <c r="J1" s="45"/>
      <c r="K1" s="45"/>
      <c r="L1" s="45"/>
      <c r="M1" s="45"/>
      <c r="N1" s="45"/>
      <c r="O1" s="45"/>
      <c r="P1" s="45"/>
      <c r="Q1" s="45"/>
      <c r="R1" s="45"/>
      <c r="S1" s="45"/>
      <c r="T1" s="49"/>
      <c r="U1" s="45"/>
      <c r="V1" s="51"/>
    </row>
    <row r="2" spans="1:23" s="43" customFormat="1" ht="30" customHeight="1">
      <c r="A2" s="514" t="s">
        <v>103</v>
      </c>
      <c r="B2" s="102"/>
      <c r="C2" s="508"/>
      <c r="D2" s="50"/>
      <c r="E2" s="45"/>
      <c r="F2" s="45"/>
      <c r="G2" s="45"/>
      <c r="H2" s="45"/>
      <c r="I2" s="45"/>
      <c r="J2" s="45"/>
      <c r="K2" s="45"/>
      <c r="L2" s="45"/>
      <c r="M2" s="45"/>
      <c r="N2" s="45"/>
      <c r="O2" s="45"/>
      <c r="P2" s="45"/>
      <c r="Q2" s="45"/>
      <c r="R2" s="45"/>
      <c r="S2" s="45"/>
      <c r="T2" s="49"/>
      <c r="U2" s="45"/>
      <c r="V2" s="51"/>
    </row>
    <row r="3" spans="1:23" s="43" customFormat="1" ht="30" customHeight="1">
      <c r="A3" s="514"/>
      <c r="B3" s="102"/>
      <c r="C3" s="508"/>
      <c r="D3" s="50"/>
      <c r="E3" s="45"/>
      <c r="F3" s="546" t="s">
        <v>248</v>
      </c>
      <c r="G3" s="547"/>
      <c r="H3" s="45"/>
      <c r="I3" s="546" t="s">
        <v>248</v>
      </c>
      <c r="J3" s="547"/>
      <c r="K3" s="45"/>
      <c r="L3" s="546" t="s">
        <v>248</v>
      </c>
      <c r="M3" s="547"/>
      <c r="N3" s="45"/>
      <c r="O3" s="546" t="s">
        <v>248</v>
      </c>
      <c r="P3" s="547"/>
      <c r="Q3" s="45"/>
      <c r="R3" s="546" t="s">
        <v>248</v>
      </c>
      <c r="S3" s="547"/>
      <c r="T3" s="49"/>
      <c r="U3" s="45"/>
      <c r="V3" s="51"/>
    </row>
    <row r="4" spans="1:23" s="30" customFormat="1" ht="65.2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44" t="s">
        <v>33</v>
      </c>
      <c r="B5" s="299">
        <v>0</v>
      </c>
      <c r="C5" s="270" t="s">
        <v>250</v>
      </c>
      <c r="D5" s="384" t="s">
        <v>5</v>
      </c>
      <c r="E5" s="363" t="s">
        <v>5</v>
      </c>
      <c r="F5" s="401" t="s">
        <v>5</v>
      </c>
      <c r="G5" s="391" t="s">
        <v>5</v>
      </c>
      <c r="H5" s="365"/>
      <c r="I5" s="401"/>
      <c r="J5" s="391"/>
      <c r="K5" s="365"/>
      <c r="L5" s="401"/>
      <c r="M5" s="391"/>
      <c r="N5" s="365"/>
      <c r="O5" s="401"/>
      <c r="P5" s="391"/>
      <c r="Q5" s="365"/>
      <c r="R5" s="401"/>
      <c r="S5" s="391"/>
      <c r="T5" s="206" t="s">
        <v>5</v>
      </c>
      <c r="U5" s="270" t="s">
        <v>5</v>
      </c>
      <c r="V5" s="370" t="s">
        <v>5</v>
      </c>
      <c r="W5" s="4" t="str">
        <f>IF(U5="TY","A",IF(U5="TY/TYs","AB",IF(U5="TYs", "B",IF(U5="TC","C",IF(U5="-","",)))))</f>
        <v/>
      </c>
    </row>
    <row r="6" spans="1:23" ht="15" customHeight="1">
      <c r="A6" s="339" t="s">
        <v>50</v>
      </c>
      <c r="B6" s="266">
        <v>1</v>
      </c>
      <c r="C6" s="28" t="s">
        <v>7</v>
      </c>
      <c r="D6" s="302" t="s">
        <v>5</v>
      </c>
      <c r="E6" s="127">
        <f>3.95+3+10.25+(0.5+0.5)*6/7</f>
        <v>18.057142857142857</v>
      </c>
      <c r="F6" s="145" t="str">
        <f>"["&amp;309.38*14&amp;"]"</f>
        <v>[4331.32]</v>
      </c>
      <c r="G6" s="146">
        <f>3360*14</f>
        <v>47040</v>
      </c>
      <c r="H6" s="175" t="s">
        <v>5</v>
      </c>
      <c r="I6" s="400" t="s">
        <v>5</v>
      </c>
      <c r="J6" s="396" t="s">
        <v>5</v>
      </c>
      <c r="K6" s="175" t="s">
        <v>5</v>
      </c>
      <c r="L6" s="400" t="s">
        <v>5</v>
      </c>
      <c r="M6" s="396" t="s">
        <v>5</v>
      </c>
      <c r="N6" s="175" t="s">
        <v>5</v>
      </c>
      <c r="O6" s="400" t="s">
        <v>5</v>
      </c>
      <c r="P6" s="396" t="s">
        <v>5</v>
      </c>
      <c r="Q6" s="175" t="s">
        <v>5</v>
      </c>
      <c r="R6" s="400" t="s">
        <v>5</v>
      </c>
      <c r="S6" s="396" t="s">
        <v>5</v>
      </c>
      <c r="T6" s="192">
        <f>G6*E6/100</f>
        <v>8494.08</v>
      </c>
      <c r="U6" s="19" t="s">
        <v>6</v>
      </c>
      <c r="V6" s="371">
        <v>100</v>
      </c>
      <c r="W6" s="4" t="str">
        <f t="shared" ref="W6:W46" si="0">IF(U6="TY","A",IF(U6="TY/TYs","AB",IF(U6="TYs", "B",IF(U6="TC","C",IF(U6="-","",)))))</f>
        <v>A</v>
      </c>
    </row>
    <row r="7" spans="1:23" ht="15" customHeight="1">
      <c r="A7" s="235" t="s">
        <v>26</v>
      </c>
      <c r="B7" s="267">
        <v>1</v>
      </c>
      <c r="C7" s="19" t="s">
        <v>7</v>
      </c>
      <c r="D7" s="302" t="s">
        <v>5</v>
      </c>
      <c r="E7" s="127">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4" t="str">
        <f t="shared" si="0"/>
        <v>A</v>
      </c>
    </row>
    <row r="8" spans="1:23" ht="15" customHeight="1">
      <c r="A8" s="235" t="s">
        <v>49</v>
      </c>
      <c r="B8" s="267">
        <v>1</v>
      </c>
      <c r="C8" s="19" t="s">
        <v>8</v>
      </c>
      <c r="D8" s="303" t="s">
        <v>5</v>
      </c>
      <c r="E8" s="127">
        <f>0.021*100</f>
        <v>2.1</v>
      </c>
      <c r="F8" s="145">
        <v>0</v>
      </c>
      <c r="G8" s="146">
        <v>3500</v>
      </c>
      <c r="H8" s="127">
        <f>E8+(0.0495*100)</f>
        <v>7.0500000000000007</v>
      </c>
      <c r="I8" s="145">
        <f>G8</f>
        <v>3500</v>
      </c>
      <c r="J8" s="146">
        <f>819/0.021</f>
        <v>39000</v>
      </c>
      <c r="K8" s="127">
        <f>0.0495*100</f>
        <v>4.95</v>
      </c>
      <c r="L8" s="145">
        <f>J8</f>
        <v>39000</v>
      </c>
      <c r="M8" s="146">
        <f>(1801.8/0.0495)+3500</f>
        <v>39900</v>
      </c>
      <c r="N8" s="175" t="s">
        <v>5</v>
      </c>
      <c r="O8" s="400" t="s">
        <v>5</v>
      </c>
      <c r="P8" s="396" t="s">
        <v>5</v>
      </c>
      <c r="Q8" s="175" t="s">
        <v>5</v>
      </c>
      <c r="R8" s="400" t="s">
        <v>5</v>
      </c>
      <c r="S8" s="396" t="s">
        <v>5</v>
      </c>
      <c r="T8" s="192">
        <f>(G8-F8)*E8/100 + (J8-I8)*H8/100 + (M8-L8)*K8/100</f>
        <v>2620.8000000000006</v>
      </c>
      <c r="U8" s="67" t="s">
        <v>5</v>
      </c>
      <c r="V8" s="372" t="s">
        <v>5</v>
      </c>
      <c r="W8" s="4" t="str">
        <f t="shared" si="0"/>
        <v/>
      </c>
    </row>
    <row r="9" spans="1:23" ht="15" customHeight="1">
      <c r="A9" s="235" t="s">
        <v>66</v>
      </c>
      <c r="B9" s="267">
        <v>1</v>
      </c>
      <c r="C9" s="19" t="s">
        <v>7</v>
      </c>
      <c r="D9" s="303" t="s">
        <v>5</v>
      </c>
      <c r="E9" s="127">
        <f>0.07*100</f>
        <v>7.0000000000000009</v>
      </c>
      <c r="F9" s="145">
        <v>0</v>
      </c>
      <c r="G9" s="146">
        <f>12182400/12</f>
        <v>1015200</v>
      </c>
      <c r="H9" s="175" t="s">
        <v>5</v>
      </c>
      <c r="I9" s="400" t="s">
        <v>5</v>
      </c>
      <c r="J9" s="396" t="s">
        <v>5</v>
      </c>
      <c r="K9" s="175" t="s">
        <v>5</v>
      </c>
      <c r="L9" s="400" t="s">
        <v>5</v>
      </c>
      <c r="M9" s="396" t="s">
        <v>5</v>
      </c>
      <c r="N9" s="175" t="s">
        <v>5</v>
      </c>
      <c r="O9" s="400" t="s">
        <v>5</v>
      </c>
      <c r="P9" s="396" t="s">
        <v>5</v>
      </c>
      <c r="Q9" s="175" t="s">
        <v>5</v>
      </c>
      <c r="R9" s="400" t="s">
        <v>5</v>
      </c>
      <c r="S9" s="396" t="s">
        <v>5</v>
      </c>
      <c r="T9" s="192">
        <f>E9/100*G9</f>
        <v>71064</v>
      </c>
      <c r="U9" s="19" t="s">
        <v>5</v>
      </c>
      <c r="V9" s="371" t="s">
        <v>5</v>
      </c>
      <c r="W9" s="4" t="str">
        <f t="shared" si="0"/>
        <v/>
      </c>
    </row>
    <row r="10" spans="1:23" ht="15" customHeight="1">
      <c r="A10" s="235" t="s">
        <v>22</v>
      </c>
      <c r="B10" s="267">
        <v>1</v>
      </c>
      <c r="C10" s="28" t="s">
        <v>7</v>
      </c>
      <c r="D10" s="304" t="s">
        <v>5</v>
      </c>
      <c r="E10" s="127">
        <f>0.125*100</f>
        <v>12.5</v>
      </c>
      <c r="F10" s="319" t="s">
        <v>5</v>
      </c>
      <c r="G10" s="320" t="s">
        <v>5</v>
      </c>
      <c r="H10" s="163" t="s">
        <v>5</v>
      </c>
      <c r="I10" s="395" t="s">
        <v>5</v>
      </c>
      <c r="J10" s="472" t="s">
        <v>5</v>
      </c>
      <c r="K10" s="163" t="s">
        <v>5</v>
      </c>
      <c r="L10" s="395" t="s">
        <v>5</v>
      </c>
      <c r="M10" s="472" t="s">
        <v>5</v>
      </c>
      <c r="N10" s="163" t="s">
        <v>5</v>
      </c>
      <c r="O10" s="395" t="s">
        <v>5</v>
      </c>
      <c r="P10" s="472" t="s">
        <v>5</v>
      </c>
      <c r="Q10" s="163" t="s">
        <v>5</v>
      </c>
      <c r="R10" s="395" t="s">
        <v>5</v>
      </c>
      <c r="S10" s="472" t="s">
        <v>5</v>
      </c>
      <c r="T10" s="193" t="s">
        <v>5</v>
      </c>
      <c r="U10" s="28" t="s">
        <v>6</v>
      </c>
      <c r="V10" s="373">
        <v>100</v>
      </c>
      <c r="W10" s="4" t="str">
        <f t="shared" si="0"/>
        <v>A</v>
      </c>
    </row>
    <row r="11" spans="1:23" ht="15" customHeight="1">
      <c r="A11" s="235" t="s">
        <v>254</v>
      </c>
      <c r="B11" s="267">
        <v>1</v>
      </c>
      <c r="C11" s="19" t="s">
        <v>8</v>
      </c>
      <c r="D11" s="385">
        <v>894</v>
      </c>
      <c r="E11" s="207" t="s">
        <v>5</v>
      </c>
      <c r="F11" s="219" t="s">
        <v>5</v>
      </c>
      <c r="G11" s="396" t="s">
        <v>5</v>
      </c>
      <c r="H11" s="175" t="s">
        <v>5</v>
      </c>
      <c r="I11" s="400" t="s">
        <v>5</v>
      </c>
      <c r="J11" s="396" t="s">
        <v>5</v>
      </c>
      <c r="K11" s="175" t="s">
        <v>5</v>
      </c>
      <c r="L11" s="400" t="s">
        <v>5</v>
      </c>
      <c r="M11" s="396" t="s">
        <v>5</v>
      </c>
      <c r="N11" s="175" t="s">
        <v>5</v>
      </c>
      <c r="O11" s="400" t="s">
        <v>5</v>
      </c>
      <c r="P11" s="396" t="s">
        <v>5</v>
      </c>
      <c r="Q11" s="175" t="s">
        <v>5</v>
      </c>
      <c r="R11" s="400" t="s">
        <v>5</v>
      </c>
      <c r="S11" s="396" t="s">
        <v>5</v>
      </c>
      <c r="T11" s="188" t="s">
        <v>5</v>
      </c>
      <c r="U11" s="19" t="s">
        <v>6</v>
      </c>
      <c r="V11" s="371">
        <v>100</v>
      </c>
      <c r="W11" s="4" t="str">
        <f t="shared" si="0"/>
        <v>A</v>
      </c>
    </row>
    <row r="12" spans="1:23" ht="15" customHeight="1">
      <c r="A12" s="235" t="s">
        <v>58</v>
      </c>
      <c r="B12" s="267">
        <v>1</v>
      </c>
      <c r="C12" s="19" t="s">
        <v>7</v>
      </c>
      <c r="D12" s="302" t="s">
        <v>5</v>
      </c>
      <c r="E12" s="127">
        <f>0.01*100</f>
        <v>1</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19" t="s">
        <v>6</v>
      </c>
      <c r="V12" s="371">
        <v>100</v>
      </c>
      <c r="W12" s="4" t="str">
        <f t="shared" si="0"/>
        <v>A</v>
      </c>
    </row>
    <row r="13" spans="1:23" ht="15" customHeight="1">
      <c r="A13" s="235" t="s">
        <v>9</v>
      </c>
      <c r="B13" s="267">
        <v>1</v>
      </c>
      <c r="C13" s="19" t="s">
        <v>10</v>
      </c>
      <c r="D13" s="306" t="s">
        <v>5</v>
      </c>
      <c r="E13" s="127">
        <f>0.015*100</f>
        <v>1.5</v>
      </c>
      <c r="F13" s="145" t="s">
        <v>5</v>
      </c>
      <c r="G13" s="146" t="s">
        <v>5</v>
      </c>
      <c r="H13" s="175" t="s">
        <v>5</v>
      </c>
      <c r="I13" s="400" t="s">
        <v>5</v>
      </c>
      <c r="J13" s="396" t="s">
        <v>5</v>
      </c>
      <c r="K13" s="175" t="s">
        <v>5</v>
      </c>
      <c r="L13" s="400" t="s">
        <v>5</v>
      </c>
      <c r="M13" s="396" t="s">
        <v>5</v>
      </c>
      <c r="N13" s="175" t="s">
        <v>5</v>
      </c>
      <c r="O13" s="400" t="s">
        <v>5</v>
      </c>
      <c r="P13" s="396" t="s">
        <v>5</v>
      </c>
      <c r="Q13" s="175" t="s">
        <v>5</v>
      </c>
      <c r="R13" s="400" t="s">
        <v>5</v>
      </c>
      <c r="S13" s="396" t="s">
        <v>5</v>
      </c>
      <c r="T13" s="192" t="s">
        <v>5</v>
      </c>
      <c r="U13" s="19" t="s">
        <v>5</v>
      </c>
      <c r="V13" s="371" t="s">
        <v>5</v>
      </c>
      <c r="W13" s="4" t="str">
        <f t="shared" si="0"/>
        <v/>
      </c>
    </row>
    <row r="14" spans="1:23" ht="15" customHeight="1">
      <c r="A14" s="235" t="str">
        <f t="shared" ref="A14" si="1">A13</f>
        <v>Finland</v>
      </c>
      <c r="B14" s="267">
        <v>2</v>
      </c>
      <c r="C14" s="19" t="s">
        <v>8</v>
      </c>
      <c r="D14" s="306" t="s">
        <v>5</v>
      </c>
      <c r="E14" s="127">
        <f>0.048*100</f>
        <v>4.8</v>
      </c>
      <c r="F14" s="145" t="s">
        <v>5</v>
      </c>
      <c r="G14" s="146" t="s">
        <v>5</v>
      </c>
      <c r="H14" s="175" t="s">
        <v>5</v>
      </c>
      <c r="I14" s="400" t="s">
        <v>5</v>
      </c>
      <c r="J14" s="396" t="s">
        <v>5</v>
      </c>
      <c r="K14" s="175" t="s">
        <v>5</v>
      </c>
      <c r="L14" s="400" t="s">
        <v>5</v>
      </c>
      <c r="M14" s="396" t="s">
        <v>5</v>
      </c>
      <c r="N14" s="175" t="s">
        <v>5</v>
      </c>
      <c r="O14" s="400" t="s">
        <v>5</v>
      </c>
      <c r="P14" s="396" t="s">
        <v>5</v>
      </c>
      <c r="Q14" s="175" t="s">
        <v>5</v>
      </c>
      <c r="R14" s="400" t="s">
        <v>5</v>
      </c>
      <c r="S14" s="396" t="s">
        <v>5</v>
      </c>
      <c r="T14" s="192" t="s">
        <v>5</v>
      </c>
      <c r="U14" s="19" t="s">
        <v>6</v>
      </c>
      <c r="V14" s="371">
        <v>100</v>
      </c>
      <c r="W14" s="4" t="str">
        <f t="shared" si="0"/>
        <v>A</v>
      </c>
    </row>
    <row r="15" spans="1:23" ht="15" customHeight="1">
      <c r="A15" s="235" t="s">
        <v>52</v>
      </c>
      <c r="B15" s="267">
        <v>1</v>
      </c>
      <c r="C15" s="19" t="s">
        <v>8</v>
      </c>
      <c r="D15" s="303" t="s">
        <v>5</v>
      </c>
      <c r="E15" s="127">
        <f>(0.0655+0.0075+0.024+0.038+0.001)*100</f>
        <v>13.600000000000001</v>
      </c>
      <c r="F15" s="145">
        <v>0</v>
      </c>
      <c r="G15" s="146">
        <v>29184</v>
      </c>
      <c r="H15" s="127">
        <f>(0.0075+0.024+0.069+0.001)*100</f>
        <v>10.15</v>
      </c>
      <c r="I15" s="145">
        <f>G15</f>
        <v>29184</v>
      </c>
      <c r="J15" s="146">
        <f>G15*3</f>
        <v>87552</v>
      </c>
      <c r="K15" s="127">
        <f>(0.0075+0.024+0.001)*100</f>
        <v>3.25</v>
      </c>
      <c r="L15" s="145">
        <f>J15</f>
        <v>87552</v>
      </c>
      <c r="M15" s="146">
        <f>G15*4</f>
        <v>116736</v>
      </c>
      <c r="N15" s="127">
        <f>(0.0075+0.001)*100</f>
        <v>0.85000000000000009</v>
      </c>
      <c r="O15" s="145">
        <f>M15</f>
        <v>116736</v>
      </c>
      <c r="P15" s="396" t="s">
        <v>5</v>
      </c>
      <c r="Q15" s="175" t="s">
        <v>5</v>
      </c>
      <c r="R15" s="400" t="s">
        <v>5</v>
      </c>
      <c r="S15" s="396" t="s">
        <v>5</v>
      </c>
      <c r="T15" s="188" t="s">
        <v>5</v>
      </c>
      <c r="U15" s="19" t="s">
        <v>6</v>
      </c>
      <c r="V15" s="371">
        <f>E15*100/E15</f>
        <v>100</v>
      </c>
      <c r="W15" s="4" t="str">
        <f t="shared" si="0"/>
        <v>A</v>
      </c>
    </row>
    <row r="16" spans="1:23" ht="15" customHeight="1">
      <c r="A16" s="272" t="s">
        <v>54</v>
      </c>
      <c r="B16" s="405">
        <v>1</v>
      </c>
      <c r="C16" s="19" t="s">
        <v>8</v>
      </c>
      <c r="D16" s="303" t="s">
        <v>5</v>
      </c>
      <c r="E16" s="127">
        <f>(0.0975+0.0715+0.0325+0.0085)*100</f>
        <v>21</v>
      </c>
      <c r="F16" s="145">
        <v>0</v>
      </c>
      <c r="G16" s="146">
        <v>41400</v>
      </c>
      <c r="H16" s="127">
        <f>(0.0975+0.0325)*100</f>
        <v>13</v>
      </c>
      <c r="I16" s="145">
        <f>G16</f>
        <v>41400</v>
      </c>
      <c r="J16" s="146">
        <v>61200</v>
      </c>
      <c r="K16" s="175" t="s">
        <v>5</v>
      </c>
      <c r="L16" s="400" t="s">
        <v>5</v>
      </c>
      <c r="M16" s="396" t="s">
        <v>5</v>
      </c>
      <c r="N16" s="175" t="s">
        <v>5</v>
      </c>
      <c r="O16" s="400" t="s">
        <v>5</v>
      </c>
      <c r="P16" s="396" t="s">
        <v>5</v>
      </c>
      <c r="Q16" s="175" t="s">
        <v>5</v>
      </c>
      <c r="R16" s="400" t="s">
        <v>5</v>
      </c>
      <c r="S16" s="396" t="s">
        <v>5</v>
      </c>
      <c r="T16" s="192">
        <f>(G16-F16)*E16/100 + (J16-I16)*H16/100</f>
        <v>11268</v>
      </c>
      <c r="U16" s="19" t="s">
        <v>6</v>
      </c>
      <c r="V16" s="375" t="s">
        <v>218</v>
      </c>
      <c r="W16" s="4" t="str">
        <f t="shared" si="0"/>
        <v>A</v>
      </c>
    </row>
    <row r="17" spans="1:23" ht="15" customHeight="1">
      <c r="A17" s="235" t="s">
        <v>11</v>
      </c>
      <c r="B17" s="267">
        <v>1</v>
      </c>
      <c r="C17" s="19" t="s">
        <v>7</v>
      </c>
      <c r="D17" s="306" t="s">
        <v>5</v>
      </c>
      <c r="E17" s="127">
        <f>0.16*100</f>
        <v>16</v>
      </c>
      <c r="F17" s="145">
        <v>0</v>
      </c>
      <c r="G17" s="146">
        <f>25494/14</f>
        <v>1821</v>
      </c>
      <c r="H17" s="175" t="s">
        <v>5</v>
      </c>
      <c r="I17" s="400" t="s">
        <v>5</v>
      </c>
      <c r="J17" s="396" t="s">
        <v>5</v>
      </c>
      <c r="K17" s="175" t="s">
        <v>5</v>
      </c>
      <c r="L17" s="400" t="s">
        <v>5</v>
      </c>
      <c r="M17" s="396" t="s">
        <v>5</v>
      </c>
      <c r="N17" s="175" t="s">
        <v>5</v>
      </c>
      <c r="O17" s="400" t="s">
        <v>5</v>
      </c>
      <c r="P17" s="396" t="s">
        <v>5</v>
      </c>
      <c r="Q17" s="175" t="s">
        <v>5</v>
      </c>
      <c r="R17" s="400" t="s">
        <v>5</v>
      </c>
      <c r="S17" s="396" t="s">
        <v>5</v>
      </c>
      <c r="T17" s="192">
        <f>G17*E17/100</f>
        <v>291.36</v>
      </c>
      <c r="U17" s="19" t="s">
        <v>6</v>
      </c>
      <c r="V17" s="371">
        <v>100</v>
      </c>
      <c r="W17" s="4" t="str">
        <f t="shared" si="0"/>
        <v>A</v>
      </c>
    </row>
    <row r="18" spans="1:23" ht="15" customHeight="1">
      <c r="A18" s="235" t="s">
        <v>23</v>
      </c>
      <c r="B18" s="267">
        <v>1</v>
      </c>
      <c r="C18" s="19" t="s">
        <v>8</v>
      </c>
      <c r="D18" s="302" t="s">
        <v>5</v>
      </c>
      <c r="E18" s="127">
        <f>0.085*100</f>
        <v>8.5</v>
      </c>
      <c r="F18" s="145">
        <v>0</v>
      </c>
      <c r="G18" s="146">
        <v>3905500</v>
      </c>
      <c r="H18" s="175" t="s">
        <v>5</v>
      </c>
      <c r="I18" s="400" t="s">
        <v>5</v>
      </c>
      <c r="J18" s="396" t="s">
        <v>5</v>
      </c>
      <c r="K18" s="175" t="s">
        <v>5</v>
      </c>
      <c r="L18" s="400" t="s">
        <v>5</v>
      </c>
      <c r="M18" s="396" t="s">
        <v>5</v>
      </c>
      <c r="N18" s="175" t="s">
        <v>5</v>
      </c>
      <c r="O18" s="400" t="s">
        <v>5</v>
      </c>
      <c r="P18" s="396" t="s">
        <v>5</v>
      </c>
      <c r="Q18" s="175" t="s">
        <v>5</v>
      </c>
      <c r="R18" s="400" t="s">
        <v>5</v>
      </c>
      <c r="S18" s="396" t="s">
        <v>5</v>
      </c>
      <c r="T18" s="203">
        <f>+G18*E18/100</f>
        <v>331967.5</v>
      </c>
      <c r="U18" s="279" t="s">
        <v>28</v>
      </c>
      <c r="V18" s="371">
        <v>25</v>
      </c>
      <c r="W18" s="4" t="str">
        <f t="shared" si="0"/>
        <v>C</v>
      </c>
    </row>
    <row r="19" spans="1:23" ht="15" customHeight="1">
      <c r="A19" s="235" t="str">
        <f t="shared" ref="A19" si="2">A18</f>
        <v xml:space="preserve">Hungary </v>
      </c>
      <c r="B19" s="267">
        <v>2</v>
      </c>
      <c r="C19" s="19" t="s">
        <v>8</v>
      </c>
      <c r="D19" s="302" t="s">
        <v>5</v>
      </c>
      <c r="E19" s="127">
        <f>(0.03+0.01)*100</f>
        <v>4</v>
      </c>
      <c r="F19" s="145" t="s">
        <v>5</v>
      </c>
      <c r="G19" s="146" t="s">
        <v>5</v>
      </c>
      <c r="H19" s="175" t="s">
        <v>5</v>
      </c>
      <c r="I19" s="400" t="s">
        <v>5</v>
      </c>
      <c r="J19" s="396" t="s">
        <v>5</v>
      </c>
      <c r="K19" s="175" t="s">
        <v>5</v>
      </c>
      <c r="L19" s="400" t="s">
        <v>5</v>
      </c>
      <c r="M19" s="396" t="s">
        <v>5</v>
      </c>
      <c r="N19" s="175" t="s">
        <v>5</v>
      </c>
      <c r="O19" s="400" t="s">
        <v>5</v>
      </c>
      <c r="P19" s="396" t="s">
        <v>5</v>
      </c>
      <c r="Q19" s="175" t="s">
        <v>5</v>
      </c>
      <c r="R19" s="400" t="s">
        <v>5</v>
      </c>
      <c r="S19" s="396" t="s">
        <v>5</v>
      </c>
      <c r="T19" s="203" t="s">
        <v>5</v>
      </c>
      <c r="U19" s="23" t="s">
        <v>5</v>
      </c>
      <c r="V19" s="374" t="s">
        <v>5</v>
      </c>
      <c r="W19" s="4" t="str">
        <f t="shared" si="0"/>
        <v/>
      </c>
    </row>
    <row r="20" spans="1:23" ht="15" customHeight="1">
      <c r="A20" s="235" t="s">
        <v>68</v>
      </c>
      <c r="B20" s="267">
        <v>1</v>
      </c>
      <c r="C20" s="417" t="s">
        <v>6</v>
      </c>
      <c r="D20" s="385">
        <v>5576</v>
      </c>
      <c r="E20" s="127" t="s">
        <v>24</v>
      </c>
      <c r="F20" s="145">
        <v>835019</v>
      </c>
      <c r="G20" s="146" t="s">
        <v>24</v>
      </c>
      <c r="H20" s="175" t="s">
        <v>5</v>
      </c>
      <c r="I20" s="400" t="s">
        <v>5</v>
      </c>
      <c r="J20" s="396" t="s">
        <v>5</v>
      </c>
      <c r="K20" s="175" t="s">
        <v>5</v>
      </c>
      <c r="L20" s="400" t="s">
        <v>5</v>
      </c>
      <c r="M20" s="396" t="s">
        <v>5</v>
      </c>
      <c r="N20" s="175" t="s">
        <v>5</v>
      </c>
      <c r="O20" s="400" t="s">
        <v>5</v>
      </c>
      <c r="P20" s="396" t="s">
        <v>5</v>
      </c>
      <c r="Q20" s="175" t="s">
        <v>5</v>
      </c>
      <c r="R20" s="400" t="s">
        <v>5</v>
      </c>
      <c r="S20" s="396" t="s">
        <v>5</v>
      </c>
      <c r="T20" s="203" t="s">
        <v>5</v>
      </c>
      <c r="U20" s="54" t="s">
        <v>5</v>
      </c>
      <c r="V20" s="374" t="s">
        <v>5</v>
      </c>
      <c r="W20" s="4" t="str">
        <f t="shared" si="0"/>
        <v/>
      </c>
    </row>
    <row r="21" spans="1:23" ht="15" customHeight="1">
      <c r="A21" s="235" t="s">
        <v>68</v>
      </c>
      <c r="B21" s="267">
        <v>2</v>
      </c>
      <c r="C21" s="417" t="s">
        <v>8</v>
      </c>
      <c r="D21" s="386" t="s">
        <v>5</v>
      </c>
      <c r="E21" s="127">
        <v>8</v>
      </c>
      <c r="F21" s="392" t="s">
        <v>5</v>
      </c>
      <c r="G21" s="393" t="s">
        <v>5</v>
      </c>
      <c r="H21" s="175" t="s">
        <v>5</v>
      </c>
      <c r="I21" s="400" t="s">
        <v>5</v>
      </c>
      <c r="J21" s="396" t="s">
        <v>5</v>
      </c>
      <c r="K21" s="175" t="s">
        <v>5</v>
      </c>
      <c r="L21" s="400" t="s">
        <v>5</v>
      </c>
      <c r="M21" s="396" t="s">
        <v>5</v>
      </c>
      <c r="N21" s="175" t="s">
        <v>5</v>
      </c>
      <c r="O21" s="400" t="s">
        <v>5</v>
      </c>
      <c r="P21" s="396" t="s">
        <v>5</v>
      </c>
      <c r="Q21" s="175" t="s">
        <v>5</v>
      </c>
      <c r="R21" s="400" t="s">
        <v>5</v>
      </c>
      <c r="S21" s="396" t="s">
        <v>5</v>
      </c>
      <c r="T21" s="203" t="s">
        <v>5</v>
      </c>
      <c r="U21" s="19" t="s">
        <v>6</v>
      </c>
      <c r="V21" s="371">
        <v>100</v>
      </c>
      <c r="W21" s="4" t="str">
        <f t="shared" si="0"/>
        <v>A</v>
      </c>
    </row>
    <row r="22" spans="1:23" ht="15" customHeight="1">
      <c r="A22" s="235" t="s">
        <v>93</v>
      </c>
      <c r="B22" s="267">
        <v>1</v>
      </c>
      <c r="C22" s="19" t="s">
        <v>8</v>
      </c>
      <c r="D22" s="303" t="s">
        <v>5</v>
      </c>
      <c r="E22" s="127">
        <f>0.02*100</f>
        <v>2</v>
      </c>
      <c r="F22" s="145">
        <v>18512</v>
      </c>
      <c r="G22" s="396" t="s">
        <v>5</v>
      </c>
      <c r="H22" s="175" t="s">
        <v>5</v>
      </c>
      <c r="I22" s="400" t="s">
        <v>5</v>
      </c>
      <c r="J22" s="396" t="s">
        <v>5</v>
      </c>
      <c r="K22" s="175" t="s">
        <v>5</v>
      </c>
      <c r="L22" s="400" t="s">
        <v>5</v>
      </c>
      <c r="M22" s="396" t="s">
        <v>5</v>
      </c>
      <c r="N22" s="175" t="s">
        <v>5</v>
      </c>
      <c r="O22" s="400" t="s">
        <v>5</v>
      </c>
      <c r="P22" s="396" t="s">
        <v>5</v>
      </c>
      <c r="Q22" s="175" t="s">
        <v>5</v>
      </c>
      <c r="R22" s="400" t="s">
        <v>5</v>
      </c>
      <c r="S22" s="396" t="s">
        <v>5</v>
      </c>
      <c r="T22" s="188" t="s">
        <v>5</v>
      </c>
      <c r="U22" s="67" t="s">
        <v>5</v>
      </c>
      <c r="V22" s="372" t="s">
        <v>5</v>
      </c>
      <c r="W22" s="4" t="str">
        <f t="shared" si="0"/>
        <v/>
      </c>
    </row>
    <row r="23" spans="1:23" ht="15" customHeight="1">
      <c r="A23" s="235" t="str">
        <f t="shared" ref="A23" si="3">A22</f>
        <v xml:space="preserve">Ireland* </v>
      </c>
      <c r="B23" s="267">
        <v>2</v>
      </c>
      <c r="C23" s="19" t="str">
        <f>C22</f>
        <v>AGE</v>
      </c>
      <c r="D23" s="302" t="s">
        <v>5</v>
      </c>
      <c r="E23" s="127">
        <f>0.04*100</f>
        <v>4</v>
      </c>
      <c r="F23" s="145" t="s">
        <v>80</v>
      </c>
      <c r="G23" s="317">
        <v>40420</v>
      </c>
      <c r="H23" s="120" t="s">
        <v>5</v>
      </c>
      <c r="I23" s="219" t="s">
        <v>5</v>
      </c>
      <c r="J23" s="180" t="s">
        <v>5</v>
      </c>
      <c r="K23" s="120" t="s">
        <v>5</v>
      </c>
      <c r="L23" s="219" t="s">
        <v>5</v>
      </c>
      <c r="M23" s="180" t="s">
        <v>5</v>
      </c>
      <c r="N23" s="120" t="s">
        <v>5</v>
      </c>
      <c r="O23" s="219" t="s">
        <v>5</v>
      </c>
      <c r="P23" s="180" t="s">
        <v>5</v>
      </c>
      <c r="Q23" s="120" t="s">
        <v>5</v>
      </c>
      <c r="R23" s="219" t="s">
        <v>5</v>
      </c>
      <c r="S23" s="180" t="s">
        <v>5</v>
      </c>
      <c r="T23" s="203">
        <f>E23*G23/100</f>
        <v>1616.8</v>
      </c>
      <c r="U23" s="23" t="s">
        <v>5</v>
      </c>
      <c r="V23" s="374" t="s">
        <v>5</v>
      </c>
      <c r="W23" s="4" t="str">
        <f t="shared" si="0"/>
        <v/>
      </c>
    </row>
    <row r="24" spans="1:23" ht="15" customHeight="1">
      <c r="A24" s="235" t="s">
        <v>69</v>
      </c>
      <c r="B24" s="267">
        <v>1</v>
      </c>
      <c r="C24" s="19" t="s">
        <v>7</v>
      </c>
      <c r="D24" s="303" t="s">
        <v>5</v>
      </c>
      <c r="E24" s="127">
        <f>0.045*100</f>
        <v>4.5</v>
      </c>
      <c r="F24" s="145">
        <v>0</v>
      </c>
      <c r="G24" s="146">
        <f>41784/12</f>
        <v>3482</v>
      </c>
      <c r="H24" s="127">
        <f>0.1035*100</f>
        <v>10.35</v>
      </c>
      <c r="I24" s="145">
        <f>G24</f>
        <v>3482</v>
      </c>
      <c r="J24" s="146">
        <f>417840/12</f>
        <v>34820</v>
      </c>
      <c r="K24" s="127">
        <f>0.0516*100</f>
        <v>5.16</v>
      </c>
      <c r="L24" s="145">
        <f>J24</f>
        <v>34820</v>
      </c>
      <c r="M24" s="396" t="s">
        <v>5</v>
      </c>
      <c r="N24" s="175" t="s">
        <v>5</v>
      </c>
      <c r="O24" s="400" t="s">
        <v>5</v>
      </c>
      <c r="P24" s="396" t="s">
        <v>5</v>
      </c>
      <c r="Q24" s="175" t="s">
        <v>5</v>
      </c>
      <c r="R24" s="400" t="s">
        <v>5</v>
      </c>
      <c r="S24" s="396" t="s">
        <v>5</v>
      </c>
      <c r="T24" s="188" t="s">
        <v>5</v>
      </c>
      <c r="U24" s="67" t="s">
        <v>5</v>
      </c>
      <c r="V24" s="372" t="s">
        <v>5</v>
      </c>
      <c r="W24" s="4" t="str">
        <f t="shared" si="0"/>
        <v/>
      </c>
    </row>
    <row r="25" spans="1:23" ht="15" customHeight="1">
      <c r="A25" s="235" t="s">
        <v>13</v>
      </c>
      <c r="B25" s="267">
        <v>1</v>
      </c>
      <c r="C25" s="19" t="s">
        <v>8</v>
      </c>
      <c r="D25" s="303" t="s">
        <v>5</v>
      </c>
      <c r="E25" s="127">
        <f>0.0919*100</f>
        <v>9.19</v>
      </c>
      <c r="F25" s="145">
        <v>0</v>
      </c>
      <c r="G25" s="146">
        <v>36959</v>
      </c>
      <c r="H25" s="127">
        <f>0.1019*100</f>
        <v>10.190000000000001</v>
      </c>
      <c r="I25" s="145">
        <f>G25</f>
        <v>36959</v>
      </c>
      <c r="J25" s="146">
        <v>80391</v>
      </c>
      <c r="K25" s="175" t="s">
        <v>5</v>
      </c>
      <c r="L25" s="400" t="s">
        <v>5</v>
      </c>
      <c r="M25" s="396" t="s">
        <v>5</v>
      </c>
      <c r="N25" s="175" t="s">
        <v>5</v>
      </c>
      <c r="O25" s="400" t="s">
        <v>5</v>
      </c>
      <c r="P25" s="396" t="s">
        <v>5</v>
      </c>
      <c r="Q25" s="175" t="s">
        <v>5</v>
      </c>
      <c r="R25" s="400" t="s">
        <v>5</v>
      </c>
      <c r="S25" s="396" t="s">
        <v>5</v>
      </c>
      <c r="T25" s="192">
        <f>((E25/100)*G25)+(H25/100)*(J25-I25)</f>
        <v>7822.2529000000013</v>
      </c>
      <c r="U25" s="279" t="s">
        <v>6</v>
      </c>
      <c r="V25" s="374">
        <v>100</v>
      </c>
      <c r="W25" s="4" t="str">
        <f t="shared" si="0"/>
        <v>A</v>
      </c>
    </row>
    <row r="26" spans="1:23" s="2" customFormat="1" ht="15" customHeight="1">
      <c r="A26" s="235" t="s">
        <v>14</v>
      </c>
      <c r="B26" s="267">
        <v>1</v>
      </c>
      <c r="C26" s="407" t="s">
        <v>7</v>
      </c>
      <c r="D26" s="306" t="s">
        <v>5</v>
      </c>
      <c r="E26" s="127">
        <f>0.0679*100+H26</f>
        <v>11.59</v>
      </c>
      <c r="F26" s="392">
        <v>0</v>
      </c>
      <c r="G26" s="146">
        <f>7440000/12</f>
        <v>620000</v>
      </c>
      <c r="H26" s="127">
        <f>0.041*100+E27</f>
        <v>4.8000000000000007</v>
      </c>
      <c r="I26" s="392">
        <f>G26</f>
        <v>620000</v>
      </c>
      <c r="J26" s="317">
        <f>11760000/12</f>
        <v>980000</v>
      </c>
      <c r="K26" s="175" t="s">
        <v>5</v>
      </c>
      <c r="L26" s="400" t="s">
        <v>5</v>
      </c>
      <c r="M26" s="396" t="s">
        <v>5</v>
      </c>
      <c r="N26" s="175" t="s">
        <v>5</v>
      </c>
      <c r="O26" s="400" t="s">
        <v>5</v>
      </c>
      <c r="P26" s="396" t="s">
        <v>5</v>
      </c>
      <c r="Q26" s="175" t="s">
        <v>5</v>
      </c>
      <c r="R26" s="400" t="s">
        <v>5</v>
      </c>
      <c r="S26" s="396" t="s">
        <v>5</v>
      </c>
      <c r="T26" s="203" t="s">
        <v>5</v>
      </c>
      <c r="U26" s="19" t="s">
        <v>6</v>
      </c>
      <c r="V26" s="371">
        <v>100</v>
      </c>
      <c r="W26" s="4" t="str">
        <f t="shared" si="0"/>
        <v>A</v>
      </c>
    </row>
    <row r="27" spans="1:23" s="2" customFormat="1" ht="15" customHeight="1">
      <c r="A27" s="235" t="s">
        <v>14</v>
      </c>
      <c r="B27" s="267">
        <v>2</v>
      </c>
      <c r="C27" s="407" t="s">
        <v>7</v>
      </c>
      <c r="D27" s="302" t="s">
        <v>5</v>
      </c>
      <c r="E27" s="127">
        <f>0.007*100</f>
        <v>0.70000000000000007</v>
      </c>
      <c r="F27" s="392">
        <f>J26</f>
        <v>980000</v>
      </c>
      <c r="G27" s="393" t="s">
        <v>5</v>
      </c>
      <c r="H27" s="175" t="s">
        <v>5</v>
      </c>
      <c r="I27" s="400" t="s">
        <v>5</v>
      </c>
      <c r="J27" s="396" t="s">
        <v>5</v>
      </c>
      <c r="K27" s="175" t="s">
        <v>5</v>
      </c>
      <c r="L27" s="400" t="s">
        <v>5</v>
      </c>
      <c r="M27" s="396" t="s">
        <v>5</v>
      </c>
      <c r="N27" s="175" t="s">
        <v>5</v>
      </c>
      <c r="O27" s="400" t="s">
        <v>5</v>
      </c>
      <c r="P27" s="396" t="s">
        <v>5</v>
      </c>
      <c r="Q27" s="175" t="s">
        <v>5</v>
      </c>
      <c r="R27" s="400" t="s">
        <v>5</v>
      </c>
      <c r="S27" s="396" t="s">
        <v>5</v>
      </c>
      <c r="T27" s="203" t="s">
        <v>5</v>
      </c>
      <c r="U27" s="407" t="s">
        <v>6</v>
      </c>
      <c r="V27" s="418">
        <v>100</v>
      </c>
      <c r="W27" s="4" t="str">
        <f t="shared" si="0"/>
        <v>A</v>
      </c>
    </row>
    <row r="28" spans="1:23" s="2" customFormat="1" ht="15" customHeight="1">
      <c r="A28" s="235" t="s">
        <v>15</v>
      </c>
      <c r="B28" s="267">
        <v>1</v>
      </c>
      <c r="C28" s="19" t="s">
        <v>7</v>
      </c>
      <c r="D28" s="306" t="s">
        <v>5</v>
      </c>
      <c r="E28" s="127">
        <f>(0.045*100)+H28</f>
        <v>6.92</v>
      </c>
      <c r="F28" s="114">
        <v>0</v>
      </c>
      <c r="G28" s="317">
        <f>(1944000/0.045)/12</f>
        <v>3600000</v>
      </c>
      <c r="H28" s="127">
        <f>(0.0197*100)+K28</f>
        <v>2.42</v>
      </c>
      <c r="I28" s="114">
        <f>G28</f>
        <v>3600000</v>
      </c>
      <c r="J28" s="180">
        <f>(12009120/0.0197)/12</f>
        <v>50800000</v>
      </c>
      <c r="K28" s="127">
        <f>0.0045*100</f>
        <v>0.44999999999999996</v>
      </c>
      <c r="L28" s="114">
        <f>J28</f>
        <v>50800000</v>
      </c>
      <c r="M28" s="180" t="s">
        <v>5</v>
      </c>
      <c r="N28" s="120" t="s">
        <v>5</v>
      </c>
      <c r="O28" s="219" t="s">
        <v>5</v>
      </c>
      <c r="P28" s="180" t="s">
        <v>5</v>
      </c>
      <c r="Q28" s="120" t="s">
        <v>5</v>
      </c>
      <c r="R28" s="219" t="s">
        <v>5</v>
      </c>
      <c r="S28" s="180" t="s">
        <v>5</v>
      </c>
      <c r="T28" s="188" t="s">
        <v>5</v>
      </c>
      <c r="U28" s="19" t="s">
        <v>6</v>
      </c>
      <c r="V28" s="371">
        <v>100</v>
      </c>
      <c r="W28" s="4" t="str">
        <f t="shared" si="0"/>
        <v>A</v>
      </c>
    </row>
    <row r="29" spans="1:23" s="40" customFormat="1">
      <c r="A29" s="513" t="s">
        <v>282</v>
      </c>
      <c r="B29" s="500">
        <v>1</v>
      </c>
      <c r="C29" s="30" t="s">
        <v>8</v>
      </c>
      <c r="D29" s="502" t="s">
        <v>5</v>
      </c>
      <c r="E29" s="503">
        <v>9</v>
      </c>
      <c r="F29" s="400">
        <v>0</v>
      </c>
      <c r="G29" s="396">
        <v>26181</v>
      </c>
      <c r="H29" s="501"/>
      <c r="I29" s="504"/>
      <c r="J29" s="505"/>
      <c r="K29" s="501"/>
      <c r="L29" s="504"/>
      <c r="M29" s="505"/>
      <c r="N29" s="506"/>
      <c r="O29" s="504"/>
      <c r="P29" s="505"/>
      <c r="Q29" s="506"/>
      <c r="R29" s="504"/>
      <c r="S29" s="505"/>
      <c r="T29" s="507">
        <f>(E29/100)*G29</f>
        <v>2356.29</v>
      </c>
      <c r="U29" s="62" t="s">
        <v>6</v>
      </c>
      <c r="V29" s="375">
        <v>100</v>
      </c>
      <c r="W29" s="30" t="str">
        <f t="shared" si="0"/>
        <v>A</v>
      </c>
    </row>
    <row r="30" spans="1:23" ht="15" customHeight="1">
      <c r="A30" s="235" t="s">
        <v>70</v>
      </c>
      <c r="B30" s="267">
        <v>1</v>
      </c>
      <c r="C30" s="19" t="s">
        <v>8</v>
      </c>
      <c r="D30" s="304" t="s">
        <v>5</v>
      </c>
      <c r="E30" s="127">
        <f>0.1065*100</f>
        <v>10.65</v>
      </c>
      <c r="F30" s="145">
        <v>0</v>
      </c>
      <c r="G30" s="146">
        <v>82124</v>
      </c>
      <c r="H30" s="175" t="s">
        <v>5</v>
      </c>
      <c r="I30" s="400" t="s">
        <v>5</v>
      </c>
      <c r="J30" s="396" t="s">
        <v>5</v>
      </c>
      <c r="K30" s="175" t="s">
        <v>5</v>
      </c>
      <c r="L30" s="400" t="s">
        <v>5</v>
      </c>
      <c r="M30" s="396" t="s">
        <v>5</v>
      </c>
      <c r="N30" s="175" t="s">
        <v>5</v>
      </c>
      <c r="O30" s="400" t="s">
        <v>5</v>
      </c>
      <c r="P30" s="396" t="s">
        <v>5</v>
      </c>
      <c r="Q30" s="175" t="s">
        <v>5</v>
      </c>
      <c r="R30" s="400" t="s">
        <v>5</v>
      </c>
      <c r="S30" s="396" t="s">
        <v>5</v>
      </c>
      <c r="T30" s="192">
        <f>G30*E30/100</f>
        <v>8746.2060000000001</v>
      </c>
      <c r="U30" s="28" t="s">
        <v>6</v>
      </c>
      <c r="V30" s="373">
        <v>100</v>
      </c>
      <c r="W30" s="4" t="str">
        <f t="shared" si="0"/>
        <v>A</v>
      </c>
    </row>
    <row r="31" spans="1:23" ht="15" customHeight="1">
      <c r="A31" s="235" t="s">
        <v>70</v>
      </c>
      <c r="B31" s="267">
        <v>2</v>
      </c>
      <c r="C31" s="19" t="s">
        <v>8</v>
      </c>
      <c r="D31" s="304" t="s">
        <v>5</v>
      </c>
      <c r="E31" s="127">
        <f>0.01*100</f>
        <v>1</v>
      </c>
      <c r="F31" s="145">
        <f>0.25*16424.8</f>
        <v>4106.2</v>
      </c>
      <c r="G31" s="180" t="s">
        <v>5</v>
      </c>
      <c r="H31" s="120" t="s">
        <v>5</v>
      </c>
      <c r="I31" s="219" t="s">
        <v>5</v>
      </c>
      <c r="J31" s="180" t="s">
        <v>5</v>
      </c>
      <c r="K31" s="120" t="s">
        <v>5</v>
      </c>
      <c r="L31" s="219" t="s">
        <v>5</v>
      </c>
      <c r="M31" s="180" t="s">
        <v>5</v>
      </c>
      <c r="N31" s="120" t="s">
        <v>5</v>
      </c>
      <c r="O31" s="219" t="s">
        <v>5</v>
      </c>
      <c r="P31" s="180" t="s">
        <v>5</v>
      </c>
      <c r="Q31" s="120" t="s">
        <v>5</v>
      </c>
      <c r="R31" s="219" t="s">
        <v>5</v>
      </c>
      <c r="S31" s="180" t="s">
        <v>5</v>
      </c>
      <c r="T31" s="193" t="s">
        <v>5</v>
      </c>
      <c r="U31" s="7" t="s">
        <v>5</v>
      </c>
      <c r="V31" s="376" t="s">
        <v>5</v>
      </c>
      <c r="W31" s="4" t="str">
        <f t="shared" si="0"/>
        <v/>
      </c>
    </row>
    <row r="32" spans="1:23" s="2" customFormat="1" ht="15" customHeight="1">
      <c r="A32" s="235" t="s">
        <v>71</v>
      </c>
      <c r="B32" s="267">
        <v>1</v>
      </c>
      <c r="C32" s="19" t="s">
        <v>7</v>
      </c>
      <c r="D32" s="386" t="s">
        <v>5</v>
      </c>
      <c r="E32" s="127">
        <f>0.625+0.625</f>
        <v>1.25</v>
      </c>
      <c r="F32" s="145">
        <v>0</v>
      </c>
      <c r="G32" s="146">
        <f>3*43.65*(365/12)</f>
        <v>3983.0625</v>
      </c>
      <c r="H32" s="127">
        <f>E32+1.2</f>
        <v>2.4500000000000002</v>
      </c>
      <c r="I32" s="145">
        <f>G32</f>
        <v>3983.0625</v>
      </c>
      <c r="J32" s="146">
        <f>20*43.65*(365/12)</f>
        <v>26553.75</v>
      </c>
      <c r="K32" s="127">
        <f>0.625+1.2</f>
        <v>1.825</v>
      </c>
      <c r="L32" s="145">
        <f>J32</f>
        <v>26553.75</v>
      </c>
      <c r="M32" s="146">
        <f>25*43.65*(365/12)</f>
        <v>33192.1875</v>
      </c>
      <c r="N32" s="175" t="s">
        <v>5</v>
      </c>
      <c r="O32" s="400" t="s">
        <v>5</v>
      </c>
      <c r="P32" s="396" t="s">
        <v>5</v>
      </c>
      <c r="Q32" s="175" t="s">
        <v>5</v>
      </c>
      <c r="R32" s="400" t="s">
        <v>5</v>
      </c>
      <c r="S32" s="396" t="s">
        <v>5</v>
      </c>
      <c r="T32" s="202">
        <f>($E$32/100*$G$32)+($H$32/100*($J$32-$I$32))+($K$32/100*($M$32-$L$32))</f>
        <v>723.921609375</v>
      </c>
      <c r="U32" s="335" t="s">
        <v>5</v>
      </c>
      <c r="V32" s="343" t="s">
        <v>5</v>
      </c>
      <c r="W32" s="4" t="str">
        <f t="shared" si="0"/>
        <v/>
      </c>
    </row>
    <row r="33" spans="1:23" ht="15" customHeight="1">
      <c r="A33" s="339" t="s">
        <v>60</v>
      </c>
      <c r="B33" s="266">
        <v>1</v>
      </c>
      <c r="C33" s="28" t="s">
        <v>6</v>
      </c>
      <c r="D33" s="304" t="s">
        <v>5</v>
      </c>
      <c r="E33" s="127">
        <f>(0.179+0.0125+0.123)*100</f>
        <v>31.45</v>
      </c>
      <c r="F33" s="319">
        <v>0</v>
      </c>
      <c r="G33" s="320">
        <v>28850</v>
      </c>
      <c r="H33" s="163" t="s">
        <v>5</v>
      </c>
      <c r="I33" s="395" t="s">
        <v>5</v>
      </c>
      <c r="J33" s="472" t="s">
        <v>5</v>
      </c>
      <c r="K33" s="163" t="s">
        <v>5</v>
      </c>
      <c r="L33" s="395" t="s">
        <v>5</v>
      </c>
      <c r="M33" s="472" t="s">
        <v>5</v>
      </c>
      <c r="N33" s="163" t="s">
        <v>5</v>
      </c>
      <c r="O33" s="395" t="s">
        <v>5</v>
      </c>
      <c r="P33" s="472" t="s">
        <v>5</v>
      </c>
      <c r="Q33" s="163" t="s">
        <v>5</v>
      </c>
      <c r="R33" s="395" t="s">
        <v>5</v>
      </c>
      <c r="S33" s="472" t="s">
        <v>5</v>
      </c>
      <c r="T33" s="196">
        <f>(G33-F33)*E33/100</f>
        <v>9073.3250000000007</v>
      </c>
      <c r="U33" s="28" t="s">
        <v>6</v>
      </c>
      <c r="V33" s="373">
        <v>100</v>
      </c>
      <c r="W33" s="4" t="str">
        <f t="shared" si="0"/>
        <v>A</v>
      </c>
    </row>
    <row r="34" spans="1:23" ht="15" customHeight="1">
      <c r="A34" s="244" t="s">
        <v>34</v>
      </c>
      <c r="B34" s="277">
        <v>0</v>
      </c>
      <c r="C34" s="111" t="s">
        <v>250</v>
      </c>
      <c r="D34" s="310" t="s">
        <v>5</v>
      </c>
      <c r="E34" s="366" t="s">
        <v>5</v>
      </c>
      <c r="F34" s="398" t="s">
        <v>5</v>
      </c>
      <c r="G34" s="399" t="s">
        <v>5</v>
      </c>
      <c r="H34" s="163" t="s">
        <v>5</v>
      </c>
      <c r="I34" s="395" t="s">
        <v>5</v>
      </c>
      <c r="J34" s="472" t="s">
        <v>5</v>
      </c>
      <c r="K34" s="163" t="s">
        <v>5</v>
      </c>
      <c r="L34" s="395" t="s">
        <v>5</v>
      </c>
      <c r="M34" s="472" t="s">
        <v>5</v>
      </c>
      <c r="N34" s="163" t="s">
        <v>5</v>
      </c>
      <c r="O34" s="395" t="s">
        <v>5</v>
      </c>
      <c r="P34" s="472" t="s">
        <v>5</v>
      </c>
      <c r="Q34" s="163" t="s">
        <v>5</v>
      </c>
      <c r="R34" s="395" t="s">
        <v>5</v>
      </c>
      <c r="S34" s="472" t="s">
        <v>5</v>
      </c>
      <c r="T34" s="197" t="s">
        <v>5</v>
      </c>
      <c r="U34" s="111" t="s">
        <v>5</v>
      </c>
      <c r="V34" s="377" t="s">
        <v>5</v>
      </c>
      <c r="W34" s="4" t="str">
        <f t="shared" si="0"/>
        <v/>
      </c>
    </row>
    <row r="35" spans="1:23" ht="15" customHeight="1">
      <c r="A35" s="235" t="s">
        <v>16</v>
      </c>
      <c r="B35" s="267">
        <v>1</v>
      </c>
      <c r="C35" s="19" t="s">
        <v>8</v>
      </c>
      <c r="D35" s="302" t="s">
        <v>5</v>
      </c>
      <c r="E35" s="127">
        <f>0.078*100</f>
        <v>7.8</v>
      </c>
      <c r="F35" s="145" t="s">
        <v>36</v>
      </c>
      <c r="G35" s="146" t="s">
        <v>5</v>
      </c>
      <c r="H35" s="175" t="s">
        <v>5</v>
      </c>
      <c r="I35" s="400" t="s">
        <v>5</v>
      </c>
      <c r="J35" s="396" t="s">
        <v>5</v>
      </c>
      <c r="K35" s="175" t="s">
        <v>5</v>
      </c>
      <c r="L35" s="400" t="s">
        <v>5</v>
      </c>
      <c r="M35" s="396" t="s">
        <v>5</v>
      </c>
      <c r="N35" s="175" t="s">
        <v>5</v>
      </c>
      <c r="O35" s="400" t="s">
        <v>5</v>
      </c>
      <c r="P35" s="396" t="s">
        <v>5</v>
      </c>
      <c r="Q35" s="175" t="s">
        <v>5</v>
      </c>
      <c r="R35" s="400" t="s">
        <v>5</v>
      </c>
      <c r="S35" s="396" t="s">
        <v>5</v>
      </c>
      <c r="T35" s="202" t="s">
        <v>5</v>
      </c>
      <c r="U35" s="54" t="s">
        <v>5</v>
      </c>
      <c r="V35" s="374" t="s">
        <v>5</v>
      </c>
      <c r="W35" s="4" t="str">
        <f t="shared" si="0"/>
        <v/>
      </c>
    </row>
    <row r="36" spans="1:23" ht="15" customHeight="1">
      <c r="A36" s="235" t="s">
        <v>72</v>
      </c>
      <c r="B36" s="267">
        <v>1</v>
      </c>
      <c r="C36" s="19" t="s">
        <v>8</v>
      </c>
      <c r="D36" s="303" t="s">
        <v>5</v>
      </c>
      <c r="E36" s="127">
        <f>(0.061098+0.065)*100</f>
        <v>12.609799999999998</v>
      </c>
      <c r="F36" s="145">
        <v>0</v>
      </c>
      <c r="G36" s="146">
        <v>65850</v>
      </c>
      <c r="H36" s="127">
        <f>0.0245*100</f>
        <v>2.4500000000000002</v>
      </c>
      <c r="I36" s="145">
        <v>65850</v>
      </c>
      <c r="J36" s="396" t="s">
        <v>5</v>
      </c>
      <c r="K36" s="175" t="s">
        <v>5</v>
      </c>
      <c r="L36" s="400" t="s">
        <v>5</v>
      </c>
      <c r="M36" s="396" t="s">
        <v>5</v>
      </c>
      <c r="N36" s="175" t="s">
        <v>5</v>
      </c>
      <c r="O36" s="400" t="s">
        <v>5</v>
      </c>
      <c r="P36" s="396" t="s">
        <v>5</v>
      </c>
      <c r="Q36" s="175" t="s">
        <v>5</v>
      </c>
      <c r="R36" s="400" t="s">
        <v>5</v>
      </c>
      <c r="S36" s="396" t="s">
        <v>5</v>
      </c>
      <c r="T36" s="199" t="s">
        <v>5</v>
      </c>
      <c r="U36" s="19" t="s">
        <v>6</v>
      </c>
      <c r="V36" s="371">
        <v>100</v>
      </c>
      <c r="W36" s="4" t="str">
        <f t="shared" si="0"/>
        <v>A</v>
      </c>
    </row>
    <row r="37" spans="1:23" ht="15" customHeight="1">
      <c r="A37" s="235" t="s">
        <v>72</v>
      </c>
      <c r="B37" s="267">
        <v>2</v>
      </c>
      <c r="C37" s="19" t="s">
        <v>8</v>
      </c>
      <c r="D37" s="302" t="s">
        <v>5</v>
      </c>
      <c r="E37" s="127">
        <f>0.08*100</f>
        <v>8</v>
      </c>
      <c r="F37" s="145" t="s">
        <v>5</v>
      </c>
      <c r="G37" s="146" t="s">
        <v>5</v>
      </c>
      <c r="H37" s="175" t="s">
        <v>5</v>
      </c>
      <c r="I37" s="400" t="s">
        <v>5</v>
      </c>
      <c r="J37" s="396" t="s">
        <v>5</v>
      </c>
      <c r="K37" s="175" t="s">
        <v>5</v>
      </c>
      <c r="L37" s="400" t="s">
        <v>5</v>
      </c>
      <c r="M37" s="396" t="s">
        <v>5</v>
      </c>
      <c r="N37" s="175" t="s">
        <v>5</v>
      </c>
      <c r="O37" s="400" t="s">
        <v>5</v>
      </c>
      <c r="P37" s="396" t="s">
        <v>5</v>
      </c>
      <c r="Q37" s="175" t="s">
        <v>5</v>
      </c>
      <c r="R37" s="400" t="s">
        <v>5</v>
      </c>
      <c r="S37" s="396" t="s">
        <v>5</v>
      </c>
      <c r="T37" s="202" t="s">
        <v>5</v>
      </c>
      <c r="U37" s="28" t="s">
        <v>5</v>
      </c>
      <c r="V37" s="373" t="s">
        <v>5</v>
      </c>
      <c r="W37" s="4" t="str">
        <f t="shared" si="0"/>
        <v/>
      </c>
    </row>
    <row r="38" spans="1:23" ht="15" customHeight="1">
      <c r="A38" s="235" t="s">
        <v>17</v>
      </c>
      <c r="B38" s="267">
        <v>1</v>
      </c>
      <c r="C38" s="19" t="s">
        <v>7</v>
      </c>
      <c r="D38" s="302" t="s">
        <v>5</v>
      </c>
      <c r="E38" s="127">
        <f>0.11*100</f>
        <v>11</v>
      </c>
      <c r="F38" s="145" t="s">
        <v>5</v>
      </c>
      <c r="G38" s="146" t="s">
        <v>5</v>
      </c>
      <c r="H38" s="175" t="s">
        <v>5</v>
      </c>
      <c r="I38" s="400" t="s">
        <v>5</v>
      </c>
      <c r="J38" s="396" t="s">
        <v>5</v>
      </c>
      <c r="K38" s="175" t="s">
        <v>5</v>
      </c>
      <c r="L38" s="400" t="s">
        <v>5</v>
      </c>
      <c r="M38" s="396" t="s">
        <v>5</v>
      </c>
      <c r="N38" s="175" t="s">
        <v>5</v>
      </c>
      <c r="O38" s="400" t="s">
        <v>5</v>
      </c>
      <c r="P38" s="396" t="s">
        <v>5</v>
      </c>
      <c r="Q38" s="175" t="s">
        <v>5</v>
      </c>
      <c r="R38" s="400" t="s">
        <v>5</v>
      </c>
      <c r="S38" s="396" t="s">
        <v>5</v>
      </c>
      <c r="T38" s="202" t="s">
        <v>5</v>
      </c>
      <c r="U38" s="19" t="s">
        <v>6</v>
      </c>
      <c r="V38" s="371">
        <v>100</v>
      </c>
      <c r="W38" s="4" t="str">
        <f t="shared" si="0"/>
        <v>A</v>
      </c>
    </row>
    <row r="39" spans="1:23" ht="15" customHeight="1">
      <c r="A39" s="235" t="s">
        <v>51</v>
      </c>
      <c r="B39" s="266">
        <v>1</v>
      </c>
      <c r="C39" s="19" t="s">
        <v>7</v>
      </c>
      <c r="D39" s="304" t="s">
        <v>5</v>
      </c>
      <c r="E39" s="127">
        <f>(0.078+0.04+0.01)*100</f>
        <v>12.8</v>
      </c>
      <c r="F39" s="145" t="str">
        <f>"["&amp;ROUND(189.12,1)&amp;"]"</f>
        <v>[189.1]</v>
      </c>
      <c r="G39" s="146">
        <f>9559.84863572993/12</f>
        <v>796.65405297749419</v>
      </c>
      <c r="H39" s="499">
        <f>(0.078+0.04)*100</f>
        <v>11.799999999999999</v>
      </c>
      <c r="I39" s="400">
        <f>G39</f>
        <v>796.65405297749419</v>
      </c>
      <c r="J39" s="396">
        <f>12746.4648476399/12</f>
        <v>1062.2054039699917</v>
      </c>
      <c r="K39" s="175" t="s">
        <v>5</v>
      </c>
      <c r="L39" s="400" t="s">
        <v>5</v>
      </c>
      <c r="M39" s="396" t="s">
        <v>5</v>
      </c>
      <c r="N39" s="175" t="s">
        <v>5</v>
      </c>
      <c r="O39" s="400" t="s">
        <v>5</v>
      </c>
      <c r="P39" s="396" t="s">
        <v>5</v>
      </c>
      <c r="Q39" s="175" t="s">
        <v>5</v>
      </c>
      <c r="R39" s="400" t="s">
        <v>5</v>
      </c>
      <c r="S39" s="396" t="s">
        <v>5</v>
      </c>
      <c r="T39" s="202">
        <f>(E39*G39)/100+(H39*J39)/100</f>
        <v>227.31195644957828</v>
      </c>
      <c r="U39" s="28" t="s">
        <v>6</v>
      </c>
      <c r="V39" s="373">
        <v>100</v>
      </c>
      <c r="W39" s="4" t="str">
        <f t="shared" si="0"/>
        <v>A</v>
      </c>
    </row>
    <row r="40" spans="1:23" ht="15" customHeight="1">
      <c r="A40" s="235" t="s">
        <v>59</v>
      </c>
      <c r="B40" s="267">
        <v>1</v>
      </c>
      <c r="C40" s="19" t="s">
        <v>7</v>
      </c>
      <c r="D40" s="303" t="s">
        <v>5</v>
      </c>
      <c r="E40" s="127">
        <f>0.221*100</f>
        <v>22.1</v>
      </c>
      <c r="F40" s="400" t="s">
        <v>5</v>
      </c>
      <c r="G40" s="396" t="s">
        <v>5</v>
      </c>
      <c r="H40" s="175" t="s">
        <v>5</v>
      </c>
      <c r="I40" s="400" t="s">
        <v>5</v>
      </c>
      <c r="J40" s="396" t="s">
        <v>5</v>
      </c>
      <c r="K40" s="175" t="s">
        <v>5</v>
      </c>
      <c r="L40" s="400" t="s">
        <v>5</v>
      </c>
      <c r="M40" s="396" t="s">
        <v>5</v>
      </c>
      <c r="N40" s="175" t="s">
        <v>5</v>
      </c>
      <c r="O40" s="400" t="s">
        <v>5</v>
      </c>
      <c r="P40" s="396" t="s">
        <v>5</v>
      </c>
      <c r="Q40" s="175" t="s">
        <v>5</v>
      </c>
      <c r="R40" s="400" t="s">
        <v>5</v>
      </c>
      <c r="S40" s="396" t="s">
        <v>5</v>
      </c>
      <c r="T40" s="199" t="s">
        <v>5</v>
      </c>
      <c r="U40" s="28" t="s">
        <v>6</v>
      </c>
      <c r="V40" s="373">
        <v>100</v>
      </c>
      <c r="W40" s="4" t="str">
        <f t="shared" si="0"/>
        <v>A</v>
      </c>
    </row>
    <row r="41" spans="1:23" ht="15" customHeight="1">
      <c r="A41" s="235" t="s">
        <v>213</v>
      </c>
      <c r="B41" s="267">
        <v>1</v>
      </c>
      <c r="C41" s="19" t="s">
        <v>8</v>
      </c>
      <c r="D41" s="302" t="s">
        <v>5</v>
      </c>
      <c r="E41" s="127">
        <f>(0.047+0.0155+0.001)*100</f>
        <v>6.35</v>
      </c>
      <c r="F41" s="145">
        <v>0</v>
      </c>
      <c r="G41" s="146">
        <v>31824</v>
      </c>
      <c r="H41" s="175" t="s">
        <v>5</v>
      </c>
      <c r="I41" s="400" t="s">
        <v>5</v>
      </c>
      <c r="J41" s="396" t="s">
        <v>5</v>
      </c>
      <c r="K41" s="175" t="s">
        <v>5</v>
      </c>
      <c r="L41" s="400" t="s">
        <v>5</v>
      </c>
      <c r="M41" s="396" t="s">
        <v>5</v>
      </c>
      <c r="N41" s="175" t="s">
        <v>5</v>
      </c>
      <c r="O41" s="400" t="s">
        <v>5</v>
      </c>
      <c r="P41" s="396" t="s">
        <v>5</v>
      </c>
      <c r="Q41" s="175" t="s">
        <v>5</v>
      </c>
      <c r="R41" s="400" t="s">
        <v>5</v>
      </c>
      <c r="S41" s="396" t="s">
        <v>5</v>
      </c>
      <c r="T41" s="196">
        <f>G41*(E41/100)</f>
        <v>2020.8240000000001</v>
      </c>
      <c r="U41" s="19" t="s">
        <v>6</v>
      </c>
      <c r="V41" s="371">
        <v>100</v>
      </c>
      <c r="W41" s="4" t="str">
        <f t="shared" si="0"/>
        <v>A</v>
      </c>
    </row>
    <row r="42" spans="1:23" ht="15" customHeight="1">
      <c r="A42" s="339" t="s">
        <v>73</v>
      </c>
      <c r="B42" s="266">
        <v>1</v>
      </c>
      <c r="C42" s="19" t="s">
        <v>8</v>
      </c>
      <c r="D42" s="303" t="s">
        <v>5</v>
      </c>
      <c r="E42" s="127">
        <f>0.07*100</f>
        <v>7.0000000000000009</v>
      </c>
      <c r="F42" s="145" t="str">
        <f>"["&amp;ROUND(0.423*38600,0)&amp;"]"</f>
        <v>[16328]</v>
      </c>
      <c r="G42" s="146">
        <f>8.07*40900</f>
        <v>330063</v>
      </c>
      <c r="H42" s="175" t="s">
        <v>5</v>
      </c>
      <c r="I42" s="400" t="s">
        <v>5</v>
      </c>
      <c r="J42" s="396" t="s">
        <v>5</v>
      </c>
      <c r="K42" s="175" t="s">
        <v>5</v>
      </c>
      <c r="L42" s="400" t="s">
        <v>5</v>
      </c>
      <c r="M42" s="396" t="s">
        <v>5</v>
      </c>
      <c r="N42" s="175" t="s">
        <v>5</v>
      </c>
      <c r="O42" s="400" t="s">
        <v>5</v>
      </c>
      <c r="P42" s="396" t="s">
        <v>5</v>
      </c>
      <c r="Q42" s="175" t="s">
        <v>5</v>
      </c>
      <c r="R42" s="400" t="s">
        <v>5</v>
      </c>
      <c r="S42" s="396" t="s">
        <v>5</v>
      </c>
      <c r="T42" s="196">
        <f>ROUND(E42*G42/100,-2)</f>
        <v>23100</v>
      </c>
      <c r="U42" s="19" t="s">
        <v>18</v>
      </c>
      <c r="V42" s="371">
        <v>25</v>
      </c>
      <c r="W42" s="4" t="str">
        <f t="shared" si="0"/>
        <v>AB</v>
      </c>
    </row>
    <row r="43" spans="1:23" ht="15" customHeight="1">
      <c r="A43" s="235" t="s">
        <v>74</v>
      </c>
      <c r="B43" s="267">
        <v>1</v>
      </c>
      <c r="C43" s="19" t="s">
        <v>8</v>
      </c>
      <c r="D43" s="303" t="s">
        <v>5</v>
      </c>
      <c r="E43" s="127">
        <f>+(0.0125*100)+K43</f>
        <v>6.3000000000000007</v>
      </c>
      <c r="F43" s="145">
        <v>0</v>
      </c>
      <c r="G43" s="146">
        <v>106800</v>
      </c>
      <c r="H43" s="127">
        <f>(0.005*100)+K43</f>
        <v>5.5500000000000007</v>
      </c>
      <c r="I43" s="145">
        <f>G43</f>
        <v>106800</v>
      </c>
      <c r="J43" s="146">
        <v>267000</v>
      </c>
      <c r="K43" s="127">
        <f>0.0505*100</f>
        <v>5.0500000000000007</v>
      </c>
      <c r="L43" s="145">
        <f>J43</f>
        <v>267000</v>
      </c>
      <c r="M43" s="396" t="s">
        <v>5</v>
      </c>
      <c r="N43" s="175" t="s">
        <v>5</v>
      </c>
      <c r="O43" s="400" t="s">
        <v>5</v>
      </c>
      <c r="P43" s="396" t="s">
        <v>5</v>
      </c>
      <c r="Q43" s="175" t="s">
        <v>5</v>
      </c>
      <c r="R43" s="400" t="s">
        <v>5</v>
      </c>
      <c r="S43" s="396" t="s">
        <v>5</v>
      </c>
      <c r="T43" s="199" t="s">
        <v>5</v>
      </c>
      <c r="U43" s="19" t="s">
        <v>6</v>
      </c>
      <c r="V43" s="371">
        <v>100</v>
      </c>
      <c r="W43" s="4" t="str">
        <f t="shared" si="0"/>
        <v>A</v>
      </c>
    </row>
    <row r="44" spans="1:23" s="2" customFormat="1" ht="15" customHeight="1">
      <c r="A44" s="339" t="s">
        <v>32</v>
      </c>
      <c r="B44" s="266">
        <v>1</v>
      </c>
      <c r="C44" s="19" t="s">
        <v>8</v>
      </c>
      <c r="D44" s="302" t="s">
        <v>5</v>
      </c>
      <c r="E44" s="127">
        <v>15</v>
      </c>
      <c r="F44" s="145" t="str">
        <f>"/"&amp;ROUND(3672,0)&amp;"/"</f>
        <v>/3672/</v>
      </c>
      <c r="G44" s="393">
        <v>24550.72335</v>
      </c>
      <c r="H44" s="175" t="s">
        <v>5</v>
      </c>
      <c r="I44" s="400" t="s">
        <v>5</v>
      </c>
      <c r="J44" s="396" t="s">
        <v>5</v>
      </c>
      <c r="K44" s="175" t="s">
        <v>5</v>
      </c>
      <c r="L44" s="400" t="s">
        <v>5</v>
      </c>
      <c r="M44" s="396" t="s">
        <v>5</v>
      </c>
      <c r="N44" s="175" t="s">
        <v>5</v>
      </c>
      <c r="O44" s="400" t="s">
        <v>5</v>
      </c>
      <c r="P44" s="396" t="s">
        <v>5</v>
      </c>
      <c r="Q44" s="175" t="s">
        <v>5</v>
      </c>
      <c r="R44" s="400" t="s">
        <v>5</v>
      </c>
      <c r="S44" s="396" t="s">
        <v>5</v>
      </c>
      <c r="T44" s="196">
        <f>G44*E44/100</f>
        <v>3682.6085025000002</v>
      </c>
      <c r="U44" s="19" t="s">
        <v>6</v>
      </c>
      <c r="V44" s="371">
        <v>100</v>
      </c>
      <c r="W44" s="4" t="str">
        <f t="shared" si="0"/>
        <v>A</v>
      </c>
    </row>
    <row r="45" spans="1:23" ht="15" customHeight="1">
      <c r="A45" s="235" t="s">
        <v>47</v>
      </c>
      <c r="B45" s="267">
        <v>1</v>
      </c>
      <c r="C45" s="19" t="s">
        <v>19</v>
      </c>
      <c r="D45" s="303" t="s">
        <v>5</v>
      </c>
      <c r="E45" s="127">
        <f>0.11*100</f>
        <v>11</v>
      </c>
      <c r="F45" s="114">
        <f>4628/52</f>
        <v>89</v>
      </c>
      <c r="G45" s="115">
        <f>30940/52</f>
        <v>595</v>
      </c>
      <c r="H45" s="127">
        <f>0.01*100</f>
        <v>1</v>
      </c>
      <c r="I45" s="145">
        <f>G45</f>
        <v>595</v>
      </c>
      <c r="J45" s="393" t="s">
        <v>5</v>
      </c>
      <c r="K45" s="120" t="s">
        <v>5</v>
      </c>
      <c r="L45" s="219" t="s">
        <v>5</v>
      </c>
      <c r="M45" s="180" t="s">
        <v>5</v>
      </c>
      <c r="N45" s="120" t="s">
        <v>5</v>
      </c>
      <c r="O45" s="219" t="s">
        <v>5</v>
      </c>
      <c r="P45" s="180" t="s">
        <v>5</v>
      </c>
      <c r="Q45" s="120" t="s">
        <v>5</v>
      </c>
      <c r="R45" s="219" t="s">
        <v>5</v>
      </c>
      <c r="S45" s="180" t="s">
        <v>5</v>
      </c>
      <c r="T45" s="174" t="s">
        <v>5</v>
      </c>
      <c r="U45" s="239" t="s">
        <v>5</v>
      </c>
      <c r="V45" s="372" t="s">
        <v>5</v>
      </c>
      <c r="W45" s="4" t="str">
        <f t="shared" si="0"/>
        <v/>
      </c>
    </row>
    <row r="46" spans="1:23" ht="15" customHeight="1">
      <c r="A46" s="246" t="s">
        <v>20</v>
      </c>
      <c r="B46" s="269">
        <v>1</v>
      </c>
      <c r="C46" s="292" t="s">
        <v>8</v>
      </c>
      <c r="D46" s="311" t="s">
        <v>5</v>
      </c>
      <c r="E46" s="293">
        <f>(0.062*100)+H46</f>
        <v>7.65</v>
      </c>
      <c r="F46" s="147">
        <v>0</v>
      </c>
      <c r="G46" s="148">
        <v>87000</v>
      </c>
      <c r="H46" s="293">
        <f>0.0145*100</f>
        <v>1.4500000000000002</v>
      </c>
      <c r="I46" s="147">
        <f>G46</f>
        <v>87000</v>
      </c>
      <c r="J46" s="158" t="s">
        <v>5</v>
      </c>
      <c r="K46" s="480" t="s">
        <v>5</v>
      </c>
      <c r="L46" s="481" t="s">
        <v>5</v>
      </c>
      <c r="M46" s="158" t="s">
        <v>5</v>
      </c>
      <c r="N46" s="480" t="s">
        <v>5</v>
      </c>
      <c r="O46" s="481" t="s">
        <v>5</v>
      </c>
      <c r="P46" s="158" t="s">
        <v>5</v>
      </c>
      <c r="Q46" s="480" t="s">
        <v>5</v>
      </c>
      <c r="R46" s="481" t="s">
        <v>5</v>
      </c>
      <c r="S46" s="158" t="s">
        <v>5</v>
      </c>
      <c r="T46" s="403" t="s">
        <v>5</v>
      </c>
      <c r="U46" s="249" t="s">
        <v>5</v>
      </c>
      <c r="V46" s="380" t="s">
        <v>5</v>
      </c>
      <c r="W46" s="4" t="str">
        <f t="shared" si="0"/>
        <v/>
      </c>
    </row>
    <row r="47" spans="1:23" ht="15" customHeight="1">
      <c r="A47" s="176"/>
      <c r="B47" s="169"/>
      <c r="C47" s="19"/>
      <c r="D47" s="132"/>
      <c r="E47" s="127"/>
      <c r="F47" s="152"/>
      <c r="G47" s="151"/>
      <c r="H47" s="151"/>
      <c r="I47" s="151"/>
      <c r="J47" s="151"/>
      <c r="K47" s="151"/>
      <c r="L47" s="151"/>
      <c r="M47" s="151"/>
      <c r="N47" s="151"/>
      <c r="O47" s="151"/>
      <c r="P47" s="151"/>
      <c r="Q47" s="151"/>
      <c r="R47" s="151"/>
      <c r="S47" s="151"/>
      <c r="T47" s="157"/>
      <c r="U47" s="165"/>
      <c r="V47" s="167"/>
    </row>
    <row r="48" spans="1:23" s="75" customFormat="1" ht="12.75" customHeight="1">
      <c r="A48" s="535" t="s">
        <v>94</v>
      </c>
      <c r="B48" s="535"/>
      <c r="C48" s="535"/>
      <c r="D48" s="548"/>
      <c r="E48" s="548"/>
      <c r="F48" s="548"/>
      <c r="G48" s="548"/>
      <c r="H48" s="548"/>
      <c r="I48" s="548"/>
      <c r="J48" s="548"/>
      <c r="K48" s="548"/>
      <c r="L48" s="548"/>
      <c r="M48" s="548"/>
      <c r="N48" s="548"/>
      <c r="O48" s="548"/>
      <c r="P48" s="548"/>
      <c r="Q48" s="548"/>
      <c r="R48" s="548"/>
      <c r="S48" s="548"/>
      <c r="T48" s="548"/>
      <c r="U48" s="549"/>
      <c r="V48" s="549"/>
    </row>
    <row r="49" spans="1:22" s="76" customFormat="1" ht="12.75" customHeight="1">
      <c r="A49" s="539" t="s">
        <v>95</v>
      </c>
      <c r="B49" s="539"/>
      <c r="C49" s="539"/>
      <c r="D49" s="550"/>
      <c r="E49" s="550"/>
      <c r="F49" s="550"/>
      <c r="G49" s="550"/>
      <c r="H49" s="550"/>
      <c r="I49" s="550"/>
      <c r="J49" s="550"/>
      <c r="K49" s="550"/>
      <c r="L49" s="550"/>
      <c r="M49" s="550"/>
      <c r="N49" s="550"/>
      <c r="O49" s="550"/>
      <c r="P49" s="550"/>
      <c r="Q49" s="550"/>
      <c r="R49" s="550"/>
      <c r="S49" s="550"/>
      <c r="T49" s="550"/>
      <c r="U49" s="551"/>
      <c r="V49" s="551"/>
    </row>
    <row r="50" spans="1:22" s="76" customFormat="1" ht="12.75" customHeight="1">
      <c r="A50" s="539" t="s">
        <v>107</v>
      </c>
      <c r="B50" s="539"/>
      <c r="C50" s="539"/>
      <c r="D50" s="550"/>
      <c r="E50" s="550"/>
      <c r="F50" s="550"/>
      <c r="G50" s="550"/>
      <c r="H50" s="550"/>
      <c r="I50" s="550"/>
      <c r="J50" s="550"/>
      <c r="K50" s="550"/>
      <c r="L50" s="550"/>
      <c r="M50" s="550"/>
      <c r="N50" s="550"/>
      <c r="O50" s="550"/>
      <c r="P50" s="550"/>
      <c r="Q50" s="550"/>
      <c r="R50" s="550"/>
      <c r="S50" s="550"/>
      <c r="T50" s="550"/>
      <c r="U50" s="551"/>
      <c r="V50" s="551"/>
    </row>
    <row r="51" spans="1:22" s="76" customFormat="1" ht="12.75" customHeight="1" thickBot="1">
      <c r="A51" s="539" t="s">
        <v>108</v>
      </c>
      <c r="B51" s="552"/>
      <c r="C51" s="539"/>
      <c r="D51" s="539"/>
      <c r="E51" s="539"/>
      <c r="F51" s="539"/>
      <c r="G51" s="539"/>
      <c r="H51" s="539"/>
      <c r="I51" s="539"/>
      <c r="J51" s="539"/>
      <c r="K51" s="539"/>
      <c r="L51" s="539"/>
      <c r="M51" s="539"/>
      <c r="N51" s="539"/>
      <c r="O51" s="539"/>
      <c r="P51" s="539"/>
      <c r="Q51" s="539"/>
      <c r="R51" s="539"/>
      <c r="S51" s="539"/>
      <c r="T51" s="539"/>
      <c r="U51" s="539"/>
      <c r="V51" s="539"/>
    </row>
    <row r="52" spans="1:22" s="76" customFormat="1" ht="12.75" customHeight="1">
      <c r="A52" s="516" t="s">
        <v>1</v>
      </c>
      <c r="B52" s="84" t="s">
        <v>122</v>
      </c>
      <c r="C52" s="509" t="s">
        <v>123</v>
      </c>
      <c r="D52" s="103"/>
      <c r="E52" s="103"/>
      <c r="F52" s="104"/>
      <c r="U52" s="99"/>
      <c r="V52" s="99"/>
    </row>
    <row r="53" spans="1:22" s="76" customFormat="1" ht="12.75" customHeight="1">
      <c r="A53" s="517"/>
      <c r="B53" s="85" t="s">
        <v>124</v>
      </c>
      <c r="C53" s="510" t="s">
        <v>126</v>
      </c>
      <c r="D53" s="105"/>
      <c r="E53" s="105"/>
      <c r="F53" s="106"/>
      <c r="U53" s="83"/>
      <c r="V53" s="83"/>
    </row>
    <row r="54" spans="1:22" s="76" customFormat="1" ht="12.75" customHeight="1">
      <c r="A54" s="517"/>
      <c r="B54" s="86" t="s">
        <v>125</v>
      </c>
      <c r="C54" s="511" t="s">
        <v>136</v>
      </c>
      <c r="D54" s="107"/>
      <c r="E54" s="107"/>
      <c r="F54" s="108"/>
      <c r="U54" s="83"/>
      <c r="V54" s="83"/>
    </row>
    <row r="55" spans="1:22" s="76" customFormat="1" ht="12.75" customHeight="1">
      <c r="A55" s="517"/>
      <c r="C55" s="78"/>
      <c r="D55" s="93"/>
      <c r="E55" s="93"/>
      <c r="F55" s="93"/>
      <c r="U55" s="83"/>
      <c r="V55" s="83"/>
    </row>
    <row r="56" spans="1:22" s="76" customFormat="1" ht="12.75" customHeight="1">
      <c r="A56" s="518" t="s">
        <v>127</v>
      </c>
      <c r="B56" s="84" t="s">
        <v>128</v>
      </c>
      <c r="C56" s="509" t="s">
        <v>129</v>
      </c>
      <c r="D56" s="103"/>
      <c r="E56" s="103"/>
      <c r="F56" s="104"/>
      <c r="U56" s="99"/>
      <c r="V56" s="99"/>
    </row>
    <row r="57" spans="1:22" s="76" customFormat="1" ht="12.75" customHeight="1">
      <c r="A57" s="517"/>
      <c r="B57" s="85" t="s">
        <v>130</v>
      </c>
      <c r="C57" s="510" t="s">
        <v>133</v>
      </c>
      <c r="D57" s="105"/>
      <c r="E57" s="105"/>
      <c r="F57" s="106"/>
      <c r="U57" s="83"/>
      <c r="V57" s="83"/>
    </row>
    <row r="58" spans="1:22" s="76" customFormat="1" ht="12.75" customHeight="1">
      <c r="A58" s="517"/>
      <c r="B58" s="85" t="s">
        <v>131</v>
      </c>
      <c r="C58" s="510" t="s">
        <v>132</v>
      </c>
      <c r="D58" s="105"/>
      <c r="E58" s="105"/>
      <c r="F58" s="106"/>
      <c r="U58" s="83"/>
      <c r="V58" s="83"/>
    </row>
    <row r="59" spans="1:22" s="76" customFormat="1" ht="12.75" customHeight="1">
      <c r="A59" s="517"/>
      <c r="B59" s="85" t="s">
        <v>134</v>
      </c>
      <c r="C59" s="510" t="s">
        <v>135</v>
      </c>
      <c r="D59" s="105"/>
      <c r="E59" s="105"/>
      <c r="F59" s="106"/>
      <c r="U59" s="83"/>
      <c r="V59" s="83"/>
    </row>
    <row r="60" spans="1:22" s="76" customFormat="1" ht="12.75" customHeight="1">
      <c r="A60" s="519"/>
      <c r="B60" s="86" t="s">
        <v>28</v>
      </c>
      <c r="C60" s="511" t="s">
        <v>214</v>
      </c>
      <c r="D60" s="109"/>
      <c r="E60" s="109"/>
      <c r="F60" s="110"/>
      <c r="U60" s="83"/>
      <c r="V60" s="83"/>
    </row>
    <row r="61" spans="1:22" s="76" customFormat="1" ht="12.75" customHeight="1">
      <c r="A61" s="520"/>
      <c r="B61" s="78"/>
      <c r="C61" s="78"/>
      <c r="D61" s="83"/>
      <c r="F61" s="83"/>
      <c r="G61" s="83"/>
      <c r="H61" s="83"/>
      <c r="I61" s="83"/>
      <c r="J61" s="83"/>
      <c r="K61" s="83"/>
      <c r="L61" s="83"/>
      <c r="M61" s="83"/>
      <c r="N61" s="83"/>
      <c r="O61" s="83"/>
      <c r="P61" s="83"/>
      <c r="Q61" s="83"/>
      <c r="R61" s="83"/>
      <c r="S61" s="83"/>
      <c r="T61" s="83"/>
      <c r="U61" s="83"/>
      <c r="V61" s="83"/>
    </row>
    <row r="62" spans="1:22" s="76" customFormat="1">
      <c r="A62" s="540" t="s">
        <v>96</v>
      </c>
      <c r="B62" s="540"/>
      <c r="C62" s="540"/>
      <c r="D62" s="540"/>
      <c r="E62" s="540"/>
      <c r="F62" s="540"/>
      <c r="G62" s="540"/>
      <c r="H62" s="540"/>
      <c r="I62" s="540"/>
      <c r="J62" s="540"/>
      <c r="K62" s="540"/>
      <c r="L62" s="540"/>
      <c r="M62" s="540"/>
      <c r="N62" s="540"/>
      <c r="O62" s="540"/>
      <c r="P62" s="540"/>
      <c r="Q62" s="540"/>
      <c r="R62" s="540"/>
      <c r="S62" s="540"/>
      <c r="T62" s="540"/>
      <c r="U62" s="540"/>
      <c r="V62" s="540"/>
    </row>
    <row r="63" spans="1:22" s="76" customFormat="1">
      <c r="A63" s="539" t="s">
        <v>97</v>
      </c>
      <c r="B63" s="539"/>
      <c r="C63" s="539"/>
      <c r="D63" s="539"/>
      <c r="E63" s="539"/>
      <c r="F63" s="539"/>
      <c r="G63" s="539"/>
      <c r="H63" s="539"/>
      <c r="I63" s="539"/>
      <c r="J63" s="539"/>
      <c r="K63" s="539"/>
      <c r="L63" s="539"/>
      <c r="M63" s="539"/>
      <c r="N63" s="539"/>
      <c r="O63" s="539"/>
      <c r="P63" s="539"/>
      <c r="Q63" s="539"/>
      <c r="R63" s="539"/>
      <c r="S63" s="539"/>
      <c r="T63" s="539"/>
      <c r="U63" s="539"/>
      <c r="V63" s="539"/>
    </row>
    <row r="64" spans="1:22" s="76" customFormat="1" ht="22.5" customHeight="1">
      <c r="A64" s="521" t="s">
        <v>98</v>
      </c>
      <c r="B64" s="177"/>
      <c r="C64" s="512"/>
      <c r="D64" s="177"/>
      <c r="E64" s="177"/>
      <c r="F64" s="177"/>
      <c r="G64" s="177"/>
      <c r="H64" s="177"/>
      <c r="I64" s="177"/>
      <c r="J64" s="177"/>
      <c r="K64" s="177"/>
      <c r="L64" s="177"/>
      <c r="M64" s="177"/>
      <c r="N64" s="177"/>
      <c r="O64" s="177"/>
      <c r="P64" s="177"/>
      <c r="Q64" s="177"/>
      <c r="R64" s="177"/>
      <c r="S64" s="177"/>
      <c r="T64" s="177"/>
      <c r="U64" s="177"/>
      <c r="V64" s="177"/>
    </row>
    <row r="65" spans="1:33" s="76" customFormat="1" ht="50.25" customHeight="1">
      <c r="A65" s="539" t="s">
        <v>238</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22.5" customHeight="1">
      <c r="A66" s="539" t="s">
        <v>226</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35.25" customHeight="1">
      <c r="A67" s="539" t="s">
        <v>227</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65.25" customHeight="1">
      <c r="A68" s="539" t="s">
        <v>228</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132" customHeight="1">
      <c r="A69" s="539" t="s">
        <v>229</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50.25" customHeight="1">
      <c r="A70" s="539" t="s">
        <v>230</v>
      </c>
      <c r="B70" s="539"/>
      <c r="C70" s="539"/>
      <c r="D70" s="539"/>
      <c r="E70" s="539"/>
      <c r="F70" s="539"/>
      <c r="G70" s="539"/>
      <c r="H70" s="539"/>
      <c r="I70" s="539"/>
      <c r="J70" s="539"/>
      <c r="K70" s="539"/>
      <c r="L70" s="539"/>
      <c r="M70" s="539"/>
      <c r="N70" s="539"/>
      <c r="O70" s="539"/>
      <c r="P70" s="539"/>
      <c r="Q70" s="539"/>
      <c r="R70" s="539"/>
      <c r="S70" s="539"/>
      <c r="T70" s="539"/>
      <c r="U70" s="539"/>
      <c r="V70" s="539"/>
      <c r="W70" s="83"/>
      <c r="X70" s="83"/>
      <c r="Y70" s="83"/>
      <c r="Z70" s="83"/>
      <c r="AA70" s="83"/>
      <c r="AB70" s="83"/>
      <c r="AC70" s="83"/>
      <c r="AD70" s="83"/>
      <c r="AE70" s="83"/>
      <c r="AF70" s="83"/>
      <c r="AG70" s="83"/>
    </row>
    <row r="71" spans="1:33" s="76" customFormat="1" ht="25.5" customHeight="1">
      <c r="A71" s="542" t="s">
        <v>99</v>
      </c>
      <c r="B71" s="542"/>
      <c r="C71" s="542"/>
      <c r="D71" s="542"/>
      <c r="E71" s="542"/>
      <c r="F71" s="542"/>
      <c r="G71" s="542"/>
      <c r="H71" s="542"/>
      <c r="I71" s="542"/>
      <c r="J71" s="542"/>
      <c r="K71" s="542"/>
      <c r="L71" s="542"/>
      <c r="M71" s="542"/>
      <c r="N71" s="542"/>
      <c r="O71" s="542"/>
      <c r="P71" s="542"/>
      <c r="Q71" s="542"/>
      <c r="R71" s="542"/>
      <c r="S71" s="542"/>
      <c r="T71" s="542"/>
      <c r="U71" s="542"/>
      <c r="V71" s="542"/>
    </row>
    <row r="72" spans="1:33" s="76" customFormat="1" ht="23.25" customHeight="1">
      <c r="A72" s="543" t="s">
        <v>268</v>
      </c>
      <c r="B72" s="543"/>
      <c r="C72" s="543"/>
      <c r="D72" s="543"/>
      <c r="E72" s="543"/>
      <c r="F72" s="543"/>
      <c r="G72" s="543"/>
      <c r="H72" s="543"/>
      <c r="I72" s="543"/>
      <c r="J72" s="543"/>
      <c r="K72" s="543"/>
      <c r="L72" s="543"/>
      <c r="M72" s="543"/>
      <c r="N72" s="543"/>
      <c r="O72" s="543"/>
      <c r="P72" s="543"/>
      <c r="Q72" s="543"/>
      <c r="R72" s="543"/>
      <c r="S72" s="543"/>
      <c r="T72" s="543"/>
      <c r="U72" s="543"/>
      <c r="V72" s="543"/>
    </row>
    <row r="73" spans="1:33" s="76" customFormat="1" ht="23.25" customHeight="1">
      <c r="A73" s="543" t="s">
        <v>137</v>
      </c>
      <c r="B73" s="543"/>
      <c r="C73" s="543"/>
      <c r="D73" s="543"/>
      <c r="E73" s="543"/>
      <c r="F73" s="543"/>
      <c r="G73" s="543"/>
      <c r="H73" s="543"/>
      <c r="I73" s="543"/>
      <c r="J73" s="543"/>
      <c r="K73" s="543"/>
      <c r="L73" s="543"/>
      <c r="M73" s="543"/>
      <c r="N73" s="543"/>
      <c r="O73" s="543"/>
      <c r="P73" s="543"/>
      <c r="Q73" s="543"/>
      <c r="R73" s="543"/>
      <c r="S73" s="543"/>
      <c r="T73" s="543"/>
      <c r="U73" s="543"/>
      <c r="V73" s="543"/>
    </row>
    <row r="74" spans="1:33" s="76" customFormat="1" ht="28.5" customHeight="1">
      <c r="A74" s="543" t="s">
        <v>138</v>
      </c>
      <c r="B74" s="543"/>
      <c r="C74" s="543"/>
      <c r="D74" s="543"/>
      <c r="E74" s="543"/>
      <c r="F74" s="543"/>
      <c r="G74" s="543"/>
      <c r="H74" s="543"/>
      <c r="I74" s="543"/>
      <c r="J74" s="543"/>
      <c r="K74" s="543"/>
      <c r="L74" s="543"/>
      <c r="M74" s="543"/>
      <c r="N74" s="543"/>
      <c r="O74" s="543"/>
      <c r="P74" s="543"/>
      <c r="Q74" s="543"/>
      <c r="R74" s="543"/>
      <c r="S74" s="543"/>
      <c r="T74" s="543"/>
      <c r="U74" s="543"/>
      <c r="V74" s="543"/>
    </row>
    <row r="75" spans="1:33" s="76" customFormat="1" ht="28.5" customHeight="1">
      <c r="A75" s="543" t="s">
        <v>139</v>
      </c>
      <c r="B75" s="543"/>
      <c r="C75" s="543"/>
      <c r="D75" s="543"/>
      <c r="E75" s="543"/>
      <c r="F75" s="543"/>
      <c r="G75" s="543"/>
      <c r="H75" s="543"/>
      <c r="I75" s="543"/>
      <c r="J75" s="543"/>
      <c r="K75" s="543"/>
      <c r="L75" s="543"/>
      <c r="M75" s="543"/>
      <c r="N75" s="543"/>
      <c r="O75" s="543"/>
      <c r="P75" s="543"/>
      <c r="Q75" s="543"/>
      <c r="R75" s="543"/>
      <c r="S75" s="543"/>
      <c r="T75" s="543"/>
      <c r="U75" s="543"/>
      <c r="V75" s="543"/>
    </row>
    <row r="76" spans="1:33" s="76" customFormat="1" ht="23.25" customHeight="1">
      <c r="A76" s="543" t="s">
        <v>151</v>
      </c>
      <c r="B76" s="543"/>
      <c r="C76" s="543"/>
      <c r="D76" s="543"/>
      <c r="E76" s="543"/>
      <c r="F76" s="543"/>
      <c r="G76" s="543"/>
      <c r="H76" s="543"/>
      <c r="I76" s="543"/>
      <c r="J76" s="543"/>
      <c r="K76" s="543"/>
      <c r="L76" s="543"/>
      <c r="M76" s="543"/>
      <c r="N76" s="543"/>
      <c r="O76" s="543"/>
      <c r="P76" s="543"/>
      <c r="Q76" s="543"/>
      <c r="R76" s="543"/>
      <c r="S76" s="543"/>
      <c r="T76" s="543"/>
      <c r="U76" s="543"/>
      <c r="V76" s="543"/>
    </row>
    <row r="77" spans="1:33" s="76" customFormat="1" ht="20.25" customHeight="1">
      <c r="A77" s="540" t="s">
        <v>217</v>
      </c>
      <c r="B77" s="540"/>
      <c r="C77" s="540"/>
      <c r="D77" s="540"/>
      <c r="E77" s="540"/>
      <c r="F77" s="540"/>
      <c r="G77" s="540"/>
      <c r="H77" s="540"/>
      <c r="I77" s="540"/>
      <c r="J77" s="540"/>
      <c r="K77" s="540"/>
      <c r="L77" s="540"/>
      <c r="M77" s="540"/>
      <c r="N77" s="540"/>
      <c r="O77" s="540"/>
      <c r="P77" s="540"/>
      <c r="Q77" s="540"/>
      <c r="R77" s="540"/>
      <c r="S77" s="540"/>
      <c r="T77" s="540"/>
      <c r="U77" s="540"/>
      <c r="V77" s="540"/>
    </row>
    <row r="78" spans="1:33" s="76" customFormat="1" ht="45.75" customHeight="1">
      <c r="A78" s="543" t="s">
        <v>141</v>
      </c>
      <c r="B78" s="543"/>
      <c r="C78" s="543"/>
      <c r="D78" s="543"/>
      <c r="E78" s="543"/>
      <c r="F78" s="543"/>
      <c r="G78" s="543"/>
      <c r="H78" s="543"/>
      <c r="I78" s="543"/>
      <c r="J78" s="543"/>
      <c r="K78" s="543"/>
      <c r="L78" s="543"/>
      <c r="M78" s="543"/>
      <c r="N78" s="543"/>
      <c r="O78" s="543"/>
      <c r="P78" s="543"/>
      <c r="Q78" s="543"/>
      <c r="R78" s="543"/>
      <c r="S78" s="543"/>
      <c r="T78" s="543"/>
      <c r="U78" s="543"/>
      <c r="V78" s="543"/>
    </row>
    <row r="79" spans="1:33" s="76" customFormat="1" ht="45.75" customHeight="1">
      <c r="A79" s="543" t="s">
        <v>160</v>
      </c>
      <c r="B79" s="543"/>
      <c r="C79" s="543"/>
      <c r="D79" s="543"/>
      <c r="E79" s="543"/>
      <c r="F79" s="543"/>
      <c r="G79" s="543"/>
      <c r="H79" s="543"/>
      <c r="I79" s="543"/>
      <c r="J79" s="543"/>
      <c r="K79" s="543"/>
      <c r="L79" s="543"/>
      <c r="M79" s="543"/>
      <c r="N79" s="543"/>
      <c r="O79" s="543"/>
      <c r="P79" s="543"/>
      <c r="Q79" s="543"/>
      <c r="R79" s="543"/>
      <c r="S79" s="543"/>
      <c r="T79" s="543"/>
      <c r="U79" s="543"/>
      <c r="V79" s="543"/>
    </row>
    <row r="80" spans="1:33" s="76" customFormat="1" ht="23.25" customHeight="1">
      <c r="A80" s="543" t="s">
        <v>164</v>
      </c>
      <c r="B80" s="543"/>
      <c r="C80" s="543"/>
      <c r="D80" s="543"/>
      <c r="E80" s="543"/>
      <c r="F80" s="543"/>
      <c r="G80" s="543"/>
      <c r="H80" s="543"/>
      <c r="I80" s="543"/>
      <c r="J80" s="543"/>
      <c r="K80" s="543"/>
      <c r="L80" s="543"/>
      <c r="M80" s="543"/>
      <c r="N80" s="543"/>
      <c r="O80" s="543"/>
      <c r="P80" s="543"/>
      <c r="Q80" s="543"/>
      <c r="R80" s="543"/>
      <c r="S80" s="543"/>
      <c r="T80" s="543"/>
      <c r="U80" s="543"/>
      <c r="V80" s="543"/>
    </row>
    <row r="81" spans="1:22" s="76" customFormat="1" ht="42.75" customHeight="1">
      <c r="A81" s="543" t="s">
        <v>165</v>
      </c>
      <c r="B81" s="543"/>
      <c r="C81" s="543"/>
      <c r="D81" s="543"/>
      <c r="E81" s="543"/>
      <c r="F81" s="543"/>
      <c r="G81" s="543"/>
      <c r="H81" s="543"/>
      <c r="I81" s="543"/>
      <c r="J81" s="543"/>
      <c r="K81" s="543"/>
      <c r="L81" s="543"/>
      <c r="M81" s="543"/>
      <c r="N81" s="543"/>
      <c r="O81" s="543"/>
      <c r="P81" s="543"/>
      <c r="Q81" s="543"/>
      <c r="R81" s="543"/>
      <c r="S81" s="543"/>
      <c r="T81" s="543"/>
      <c r="U81" s="543"/>
      <c r="V81" s="543"/>
    </row>
    <row r="82" spans="1:22" s="76" customFormat="1" ht="23.25" customHeight="1">
      <c r="A82" s="543" t="s">
        <v>145</v>
      </c>
      <c r="B82" s="543"/>
      <c r="C82" s="543"/>
      <c r="D82" s="543"/>
      <c r="E82" s="543"/>
      <c r="F82" s="543"/>
      <c r="G82" s="543"/>
      <c r="H82" s="543"/>
      <c r="I82" s="543"/>
      <c r="J82" s="543"/>
      <c r="K82" s="543"/>
      <c r="L82" s="543"/>
      <c r="M82" s="543"/>
      <c r="N82" s="543"/>
      <c r="O82" s="543"/>
      <c r="P82" s="543"/>
      <c r="Q82" s="543"/>
      <c r="R82" s="543"/>
      <c r="S82" s="543"/>
      <c r="T82" s="543"/>
      <c r="U82" s="543"/>
      <c r="V82" s="543"/>
    </row>
    <row r="83" spans="1:22" s="76" customFormat="1" ht="23.25" customHeight="1">
      <c r="A83" s="543" t="s">
        <v>156</v>
      </c>
      <c r="B83" s="543"/>
      <c r="C83" s="543"/>
      <c r="D83" s="543"/>
      <c r="E83" s="543"/>
      <c r="F83" s="543"/>
      <c r="G83" s="543"/>
      <c r="H83" s="543"/>
      <c r="I83" s="543"/>
      <c r="J83" s="543"/>
      <c r="K83" s="543"/>
      <c r="L83" s="543"/>
      <c r="M83" s="543"/>
      <c r="N83" s="543"/>
      <c r="O83" s="543"/>
      <c r="P83" s="543"/>
      <c r="Q83" s="543"/>
      <c r="R83" s="543"/>
      <c r="S83" s="543"/>
      <c r="T83" s="543"/>
      <c r="U83" s="543"/>
      <c r="V83" s="543"/>
    </row>
    <row r="84" spans="1:22" s="76" customFormat="1" ht="23.25" customHeight="1">
      <c r="A84" s="543" t="s">
        <v>222</v>
      </c>
      <c r="B84" s="543"/>
      <c r="C84" s="543"/>
      <c r="D84" s="543"/>
      <c r="E84" s="543"/>
      <c r="F84" s="543"/>
      <c r="G84" s="543"/>
      <c r="H84" s="543"/>
      <c r="I84" s="543"/>
      <c r="J84" s="543"/>
      <c r="K84" s="543"/>
      <c r="L84" s="543"/>
      <c r="M84" s="543"/>
      <c r="N84" s="543"/>
      <c r="O84" s="543"/>
      <c r="P84" s="543"/>
      <c r="Q84" s="543"/>
      <c r="R84" s="543"/>
      <c r="S84" s="543"/>
      <c r="T84" s="543"/>
      <c r="U84" s="543"/>
      <c r="V84" s="543"/>
    </row>
    <row r="85" spans="1:22" s="76" customFormat="1" ht="23.25" customHeight="1">
      <c r="A85" s="543" t="s">
        <v>157</v>
      </c>
      <c r="B85" s="543"/>
      <c r="C85" s="543"/>
      <c r="D85" s="543"/>
      <c r="E85" s="543"/>
      <c r="F85" s="543"/>
      <c r="G85" s="543"/>
      <c r="H85" s="543"/>
      <c r="I85" s="543"/>
      <c r="J85" s="543"/>
      <c r="K85" s="543"/>
      <c r="L85" s="543"/>
      <c r="M85" s="543"/>
      <c r="N85" s="543"/>
      <c r="O85" s="543"/>
      <c r="P85" s="543"/>
      <c r="Q85" s="543"/>
      <c r="R85" s="543"/>
      <c r="S85" s="543"/>
      <c r="T85" s="543"/>
      <c r="U85" s="543"/>
      <c r="V85" s="543"/>
    </row>
    <row r="86" spans="1:22" s="76" customFormat="1" ht="19.5" customHeight="1">
      <c r="A86" s="543" t="s">
        <v>100</v>
      </c>
      <c r="B86" s="543"/>
      <c r="C86" s="543"/>
      <c r="D86" s="543"/>
      <c r="E86" s="543"/>
      <c r="F86" s="543"/>
      <c r="G86" s="543"/>
      <c r="H86" s="543"/>
      <c r="I86" s="543"/>
      <c r="J86" s="543"/>
      <c r="K86" s="543"/>
      <c r="L86" s="543"/>
      <c r="M86" s="543"/>
      <c r="N86" s="543"/>
      <c r="O86" s="543"/>
      <c r="P86" s="543"/>
      <c r="Q86" s="543"/>
      <c r="R86" s="543"/>
      <c r="S86" s="543"/>
      <c r="T86" s="543"/>
      <c r="U86" s="543"/>
      <c r="V86" s="543"/>
    </row>
    <row r="87" spans="1:22" s="76" customFormat="1" ht="30.75" customHeight="1">
      <c r="A87" s="544" t="s">
        <v>148</v>
      </c>
      <c r="B87" s="544"/>
      <c r="C87" s="544"/>
      <c r="D87" s="544"/>
      <c r="E87" s="544"/>
      <c r="F87" s="544"/>
      <c r="G87" s="544"/>
      <c r="H87" s="544"/>
      <c r="I87" s="544"/>
      <c r="J87" s="544"/>
      <c r="K87" s="544"/>
      <c r="L87" s="544"/>
      <c r="M87" s="544"/>
      <c r="N87" s="544"/>
      <c r="O87" s="544"/>
      <c r="P87" s="544"/>
      <c r="Q87" s="544"/>
      <c r="R87" s="544"/>
      <c r="S87" s="544"/>
      <c r="T87" s="544"/>
      <c r="U87" s="544"/>
      <c r="V87" s="544"/>
    </row>
    <row r="88" spans="1:22" s="76" customFormat="1" ht="19.5" customHeight="1">
      <c r="A88" s="543" t="s">
        <v>149</v>
      </c>
      <c r="B88" s="543"/>
      <c r="C88" s="543"/>
      <c r="D88" s="543"/>
      <c r="E88" s="543"/>
      <c r="F88" s="543"/>
      <c r="G88" s="543"/>
      <c r="H88" s="543"/>
      <c r="I88" s="543"/>
      <c r="J88" s="543"/>
      <c r="K88" s="543"/>
      <c r="L88" s="543"/>
      <c r="M88" s="543"/>
      <c r="N88" s="543"/>
      <c r="O88" s="543"/>
      <c r="P88" s="543"/>
      <c r="Q88" s="543"/>
      <c r="R88" s="543"/>
      <c r="S88" s="543"/>
      <c r="T88" s="543"/>
      <c r="U88" s="543"/>
      <c r="V88" s="543"/>
    </row>
    <row r="89" spans="1:22" s="76" customFormat="1" ht="66" customHeight="1">
      <c r="A89" s="544" t="s">
        <v>101</v>
      </c>
      <c r="B89" s="544"/>
      <c r="C89" s="544"/>
      <c r="D89" s="544"/>
      <c r="E89" s="544"/>
      <c r="F89" s="544"/>
      <c r="G89" s="544"/>
      <c r="H89" s="544"/>
      <c r="I89" s="544"/>
      <c r="J89" s="544"/>
      <c r="K89" s="544"/>
      <c r="L89" s="544"/>
      <c r="M89" s="544"/>
      <c r="N89" s="544"/>
      <c r="O89" s="544"/>
      <c r="P89" s="544"/>
      <c r="Q89" s="544"/>
      <c r="R89" s="544"/>
      <c r="S89" s="544"/>
      <c r="T89" s="544"/>
      <c r="U89" s="544"/>
      <c r="V89" s="544"/>
    </row>
  </sheetData>
  <mergeCells count="36">
    <mergeCell ref="A48:V48"/>
    <mergeCell ref="A49:V49"/>
    <mergeCell ref="A50:V50"/>
    <mergeCell ref="A51:V51"/>
    <mergeCell ref="A71:V71"/>
    <mergeCell ref="A72:V72"/>
    <mergeCell ref="A62:V62"/>
    <mergeCell ref="A63:V63"/>
    <mergeCell ref="A65:V65"/>
    <mergeCell ref="A66:V66"/>
    <mergeCell ref="A67:V67"/>
    <mergeCell ref="A68:V68"/>
    <mergeCell ref="A69:V69"/>
    <mergeCell ref="A70:V70"/>
    <mergeCell ref="A73:V73"/>
    <mergeCell ref="A74:V74"/>
    <mergeCell ref="A75:V75"/>
    <mergeCell ref="A76:V76"/>
    <mergeCell ref="A78:V78"/>
    <mergeCell ref="A77:V77"/>
    <mergeCell ref="A79:V79"/>
    <mergeCell ref="A80:V80"/>
    <mergeCell ref="A81:V81"/>
    <mergeCell ref="A82:V82"/>
    <mergeCell ref="A83:V83"/>
    <mergeCell ref="A89:V89"/>
    <mergeCell ref="A84:V84"/>
    <mergeCell ref="A85:V85"/>
    <mergeCell ref="A86:V86"/>
    <mergeCell ref="A87:V87"/>
    <mergeCell ref="A88:V88"/>
    <mergeCell ref="F3:G3"/>
    <mergeCell ref="I3:J3"/>
    <mergeCell ref="L3:M3"/>
    <mergeCell ref="O3:P3"/>
    <mergeCell ref="R3:S3"/>
  </mergeCells>
  <phoneticPr fontId="5" type="noConversion"/>
  <pageMargins left="0.75" right="0.75" top="1" bottom="1" header="0.5" footer="0.5"/>
  <pageSetup paperSize="9"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G90"/>
  <sheetViews>
    <sheetView zoomScaleNormal="100" zoomScaleSheetLayoutView="75" workbookViewId="0"/>
  </sheetViews>
  <sheetFormatPr defaultRowHeight="12.75"/>
  <cols>
    <col min="1" max="1" width="18.7109375" style="524" customWidth="1"/>
    <col min="2" max="2" width="9.5703125" style="1" bestFit="1" customWidth="1"/>
    <col min="3" max="3" width="12.7109375" style="1" customWidth="1"/>
    <col min="4" max="4" width="12.7109375" style="26" customWidth="1"/>
    <col min="5" max="5" width="8.7109375" style="38" customWidth="1"/>
    <col min="6" max="7" width="12.7109375" style="37" customWidth="1"/>
    <col min="8" max="8" width="8.7109375" style="37" customWidth="1"/>
    <col min="9" max="10" width="12.7109375" style="37" customWidth="1"/>
    <col min="11" max="11" width="8.7109375" style="37" customWidth="1"/>
    <col min="12" max="13" width="12.7109375" style="37" customWidth="1"/>
    <col min="14" max="14" width="8.7109375" style="37" customWidth="1"/>
    <col min="15" max="16" width="12.7109375" style="37" customWidth="1"/>
    <col min="17" max="17" width="8.7109375" style="37" customWidth="1"/>
    <col min="18" max="19" width="12.7109375" style="37" customWidth="1"/>
    <col min="20" max="20" width="12.7109375" style="33" customWidth="1"/>
    <col min="21" max="21" width="7.140625" style="37" bestFit="1" customWidth="1"/>
    <col min="22" max="22" width="15.42578125" style="39" customWidth="1"/>
    <col min="23" max="23" width="12.7109375" style="36" hidden="1" customWidth="1"/>
    <col min="24" max="29" width="12.7109375" style="36" customWidth="1"/>
    <col min="30" max="16384" width="9.140625" style="36"/>
  </cols>
  <sheetData>
    <row r="1" spans="1:23" s="43" customFormat="1" ht="30" customHeight="1">
      <c r="A1" s="514" t="s">
        <v>25</v>
      </c>
      <c r="B1" s="102"/>
      <c r="C1" s="508"/>
      <c r="D1" s="50"/>
      <c r="E1" s="52"/>
      <c r="F1" s="45"/>
      <c r="G1" s="45"/>
      <c r="H1" s="45"/>
      <c r="I1" s="45"/>
      <c r="J1" s="45"/>
      <c r="K1" s="45"/>
      <c r="L1" s="45"/>
      <c r="M1" s="45"/>
      <c r="N1" s="45"/>
      <c r="O1" s="45"/>
      <c r="P1" s="45"/>
      <c r="Q1" s="45"/>
      <c r="R1" s="45"/>
      <c r="S1" s="45"/>
      <c r="T1" s="49"/>
      <c r="U1" s="45"/>
      <c r="V1" s="51"/>
    </row>
    <row r="2" spans="1:23" s="43" customFormat="1" ht="30" customHeight="1">
      <c r="A2" s="514" t="s">
        <v>103</v>
      </c>
      <c r="B2" s="102"/>
      <c r="C2" s="508"/>
      <c r="D2" s="50"/>
      <c r="E2" s="52"/>
      <c r="F2" s="45"/>
      <c r="G2" s="45"/>
      <c r="H2" s="45"/>
      <c r="I2" s="45"/>
      <c r="J2" s="45"/>
      <c r="K2" s="45"/>
      <c r="L2" s="45"/>
      <c r="M2" s="45"/>
      <c r="N2" s="45"/>
      <c r="O2" s="45"/>
      <c r="P2" s="45"/>
      <c r="Q2" s="45"/>
      <c r="R2" s="45"/>
      <c r="S2" s="45"/>
      <c r="T2" s="49"/>
      <c r="U2" s="45"/>
      <c r="V2" s="51"/>
    </row>
    <row r="3" spans="1:23" s="43" customFormat="1" ht="30" customHeight="1">
      <c r="A3" s="514"/>
      <c r="B3" s="102"/>
      <c r="C3" s="508"/>
      <c r="D3" s="50"/>
      <c r="E3" s="52"/>
      <c r="F3" s="546" t="s">
        <v>248</v>
      </c>
      <c r="G3" s="547"/>
      <c r="H3" s="45"/>
      <c r="I3" s="546" t="s">
        <v>248</v>
      </c>
      <c r="J3" s="547"/>
      <c r="K3" s="45"/>
      <c r="L3" s="546" t="s">
        <v>248</v>
      </c>
      <c r="M3" s="547"/>
      <c r="N3" s="45"/>
      <c r="O3" s="546" t="s">
        <v>248</v>
      </c>
      <c r="P3" s="547"/>
      <c r="Q3" s="45"/>
      <c r="R3" s="546" t="s">
        <v>248</v>
      </c>
      <c r="S3" s="547"/>
      <c r="T3" s="49"/>
      <c r="U3" s="45"/>
      <c r="V3" s="51"/>
    </row>
    <row r="4" spans="1:23"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s="4" customFormat="1" ht="15" customHeight="1">
      <c r="A5" s="244" t="s">
        <v>225</v>
      </c>
      <c r="B5" s="277">
        <v>0</v>
      </c>
      <c r="C5" s="270" t="s">
        <v>250</v>
      </c>
      <c r="D5" s="384" t="s">
        <v>5</v>
      </c>
      <c r="E5" s="419" t="s">
        <v>5</v>
      </c>
      <c r="F5" s="401" t="s">
        <v>5</v>
      </c>
      <c r="G5" s="391" t="s">
        <v>5</v>
      </c>
      <c r="H5" s="365"/>
      <c r="I5" s="401"/>
      <c r="J5" s="391"/>
      <c r="K5" s="365"/>
      <c r="L5" s="401"/>
      <c r="M5" s="391"/>
      <c r="N5" s="365"/>
      <c r="O5" s="401"/>
      <c r="P5" s="391"/>
      <c r="Q5" s="365"/>
      <c r="R5" s="401"/>
      <c r="S5" s="391"/>
      <c r="T5" s="206" t="s">
        <v>5</v>
      </c>
      <c r="U5" s="270" t="s">
        <v>5</v>
      </c>
      <c r="V5" s="370" t="s">
        <v>5</v>
      </c>
      <c r="W5" s="4" t="str">
        <f>IF(U5="TY","A",IF(U5="TY/TYs","AB",IF(U5="TYs", "B",IF(U5="TC","C",IF(U5="-","",)))))</f>
        <v/>
      </c>
    </row>
    <row r="6" spans="1:23" s="4" customFormat="1" ht="15" customHeight="1">
      <c r="A6" s="339" t="s">
        <v>50</v>
      </c>
      <c r="B6" s="266">
        <v>1</v>
      </c>
      <c r="C6" s="28" t="s">
        <v>7</v>
      </c>
      <c r="D6" s="302" t="s">
        <v>5</v>
      </c>
      <c r="E6" s="420">
        <f>3.95+3+10.25+(0.5+0.5)*6/7</f>
        <v>18.057142857142857</v>
      </c>
      <c r="F6" s="145" t="str">
        <f>"["&amp;301.54*14&amp;"]"</f>
        <v>[4221.56]</v>
      </c>
      <c r="G6" s="146">
        <f>3270*14</f>
        <v>45780</v>
      </c>
      <c r="H6" s="175" t="s">
        <v>5</v>
      </c>
      <c r="I6" s="400" t="s">
        <v>5</v>
      </c>
      <c r="J6" s="396" t="s">
        <v>5</v>
      </c>
      <c r="K6" s="175" t="s">
        <v>5</v>
      </c>
      <c r="L6" s="400" t="s">
        <v>5</v>
      </c>
      <c r="M6" s="396" t="s">
        <v>5</v>
      </c>
      <c r="N6" s="175" t="s">
        <v>5</v>
      </c>
      <c r="O6" s="400" t="s">
        <v>5</v>
      </c>
      <c r="P6" s="396" t="s">
        <v>5</v>
      </c>
      <c r="Q6" s="175" t="s">
        <v>5</v>
      </c>
      <c r="R6" s="400" t="s">
        <v>5</v>
      </c>
      <c r="S6" s="396" t="s">
        <v>5</v>
      </c>
      <c r="T6" s="192">
        <f>G6*E6/100</f>
        <v>8266.56</v>
      </c>
      <c r="U6" s="19" t="s">
        <v>6</v>
      </c>
      <c r="V6" s="371">
        <v>100</v>
      </c>
      <c r="W6" s="4" t="str">
        <f t="shared" ref="W6:W46" si="0">IF(U6="TY","A",IF(U6="TY/TYs","AB",IF(U6="TYs", "B",IF(U6="TC","C",IF(U6="-","",)))))</f>
        <v>A</v>
      </c>
    </row>
    <row r="7" spans="1:23" s="4" customFormat="1" ht="15" customHeight="1">
      <c r="A7" s="235" t="s">
        <v>26</v>
      </c>
      <c r="B7" s="267">
        <v>1</v>
      </c>
      <c r="C7" s="19" t="s">
        <v>7</v>
      </c>
      <c r="D7" s="302" t="s">
        <v>5</v>
      </c>
      <c r="E7" s="420">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4" t="str">
        <f t="shared" si="0"/>
        <v>A</v>
      </c>
    </row>
    <row r="8" spans="1:23" s="4" customFormat="1" ht="15" customHeight="1">
      <c r="A8" s="235" t="s">
        <v>49</v>
      </c>
      <c r="B8" s="267">
        <v>1</v>
      </c>
      <c r="C8" s="19" t="s">
        <v>8</v>
      </c>
      <c r="D8" s="303" t="s">
        <v>5</v>
      </c>
      <c r="E8" s="420">
        <f>0.022*100</f>
        <v>2.1999999999999997</v>
      </c>
      <c r="F8" s="145">
        <v>0</v>
      </c>
      <c r="G8" s="146">
        <v>3500</v>
      </c>
      <c r="H8" s="420">
        <f>E8+(0.047*100)</f>
        <v>6.9</v>
      </c>
      <c r="I8" s="145">
        <f>G8</f>
        <v>3500</v>
      </c>
      <c r="J8" s="146">
        <f>858/0.022</f>
        <v>39000</v>
      </c>
      <c r="K8" s="420">
        <f>0.047*100</f>
        <v>4.7</v>
      </c>
      <c r="L8" s="145">
        <f>J8</f>
        <v>39000</v>
      </c>
      <c r="M8" s="146">
        <f>(1673.2/0.047)+3500</f>
        <v>39100</v>
      </c>
      <c r="N8" s="175" t="s">
        <v>5</v>
      </c>
      <c r="O8" s="400" t="s">
        <v>5</v>
      </c>
      <c r="P8" s="396" t="s">
        <v>5</v>
      </c>
      <c r="Q8" s="175" t="s">
        <v>5</v>
      </c>
      <c r="R8" s="400" t="s">
        <v>5</v>
      </c>
      <c r="S8" s="396" t="s">
        <v>5</v>
      </c>
      <c r="T8" s="192">
        <f>(G8-F8)*E8/100 + (J8-I8)*H8/100 + (M8-L8)*K8/100</f>
        <v>2531.1999999999998</v>
      </c>
      <c r="U8" s="67" t="s">
        <v>5</v>
      </c>
      <c r="V8" s="372" t="s">
        <v>5</v>
      </c>
      <c r="W8" s="4" t="str">
        <f t="shared" si="0"/>
        <v/>
      </c>
    </row>
    <row r="9" spans="1:23" s="4" customFormat="1" ht="15" customHeight="1">
      <c r="A9" s="235" t="s">
        <v>66</v>
      </c>
      <c r="B9" s="267">
        <v>1</v>
      </c>
      <c r="C9" s="19" t="s">
        <v>7</v>
      </c>
      <c r="D9" s="303" t="s">
        <v>5</v>
      </c>
      <c r="E9" s="420">
        <f>0.07*100</f>
        <v>7.0000000000000009</v>
      </c>
      <c r="F9" s="145">
        <v>0</v>
      </c>
      <c r="G9" s="146">
        <f>12055766.4/12</f>
        <v>1004647.2000000001</v>
      </c>
      <c r="H9" s="175" t="s">
        <v>5</v>
      </c>
      <c r="I9" s="400" t="s">
        <v>5</v>
      </c>
      <c r="J9" s="396" t="s">
        <v>5</v>
      </c>
      <c r="K9" s="175" t="s">
        <v>5</v>
      </c>
      <c r="L9" s="400" t="s">
        <v>5</v>
      </c>
      <c r="M9" s="396" t="s">
        <v>5</v>
      </c>
      <c r="N9" s="175" t="s">
        <v>5</v>
      </c>
      <c r="O9" s="400" t="s">
        <v>5</v>
      </c>
      <c r="P9" s="396" t="s">
        <v>5</v>
      </c>
      <c r="Q9" s="175" t="s">
        <v>5</v>
      </c>
      <c r="R9" s="400" t="s">
        <v>5</v>
      </c>
      <c r="S9" s="396" t="s">
        <v>5</v>
      </c>
      <c r="T9" s="192">
        <f>E9/100*G9</f>
        <v>70325.304000000018</v>
      </c>
      <c r="U9" s="19" t="s">
        <v>5</v>
      </c>
      <c r="V9" s="371" t="s">
        <v>5</v>
      </c>
      <c r="W9" s="4" t="str">
        <f t="shared" si="0"/>
        <v/>
      </c>
    </row>
    <row r="10" spans="1:23" s="4" customFormat="1" ht="15" customHeight="1">
      <c r="A10" s="235" t="s">
        <v>22</v>
      </c>
      <c r="B10" s="267">
        <v>1</v>
      </c>
      <c r="C10" s="28" t="s">
        <v>7</v>
      </c>
      <c r="D10" s="304" t="s">
        <v>5</v>
      </c>
      <c r="E10" s="127">
        <f>0.125*100</f>
        <v>12.5</v>
      </c>
      <c r="F10" s="319" t="s">
        <v>5</v>
      </c>
      <c r="G10" s="320" t="s">
        <v>5</v>
      </c>
      <c r="H10" s="163" t="s">
        <v>5</v>
      </c>
      <c r="I10" s="395" t="s">
        <v>5</v>
      </c>
      <c r="J10" s="472" t="s">
        <v>5</v>
      </c>
      <c r="K10" s="163" t="s">
        <v>5</v>
      </c>
      <c r="L10" s="395" t="s">
        <v>5</v>
      </c>
      <c r="M10" s="472" t="s">
        <v>5</v>
      </c>
      <c r="N10" s="163" t="s">
        <v>5</v>
      </c>
      <c r="O10" s="395" t="s">
        <v>5</v>
      </c>
      <c r="P10" s="472" t="s">
        <v>5</v>
      </c>
      <c r="Q10" s="163" t="s">
        <v>5</v>
      </c>
      <c r="R10" s="395" t="s">
        <v>5</v>
      </c>
      <c r="S10" s="472" t="s">
        <v>5</v>
      </c>
      <c r="T10" s="193" t="s">
        <v>5</v>
      </c>
      <c r="U10" s="28" t="s">
        <v>6</v>
      </c>
      <c r="V10" s="373">
        <v>100</v>
      </c>
      <c r="W10" s="4" t="str">
        <f t="shared" si="0"/>
        <v>A</v>
      </c>
    </row>
    <row r="11" spans="1:23" s="4" customFormat="1" ht="15" customHeight="1">
      <c r="A11" s="235" t="s">
        <v>67</v>
      </c>
      <c r="B11" s="267">
        <v>1</v>
      </c>
      <c r="C11" s="19" t="s">
        <v>8</v>
      </c>
      <c r="D11" s="385">
        <v>894</v>
      </c>
      <c r="E11" s="420" t="s">
        <v>5</v>
      </c>
      <c r="F11" s="392" t="s">
        <v>5</v>
      </c>
      <c r="G11" s="393" t="s">
        <v>5</v>
      </c>
      <c r="H11" s="175" t="s">
        <v>5</v>
      </c>
      <c r="I11" s="400" t="s">
        <v>5</v>
      </c>
      <c r="J11" s="396" t="s">
        <v>5</v>
      </c>
      <c r="K11" s="175" t="s">
        <v>5</v>
      </c>
      <c r="L11" s="400" t="s">
        <v>5</v>
      </c>
      <c r="M11" s="396" t="s">
        <v>5</v>
      </c>
      <c r="N11" s="175" t="s">
        <v>5</v>
      </c>
      <c r="O11" s="400" t="s">
        <v>5</v>
      </c>
      <c r="P11" s="396" t="s">
        <v>5</v>
      </c>
      <c r="Q11" s="175" t="s">
        <v>5</v>
      </c>
      <c r="R11" s="400" t="s">
        <v>5</v>
      </c>
      <c r="S11" s="396" t="s">
        <v>5</v>
      </c>
      <c r="T11" s="188" t="s">
        <v>5</v>
      </c>
      <c r="U11" s="19" t="s">
        <v>6</v>
      </c>
      <c r="V11" s="371">
        <v>100</v>
      </c>
      <c r="W11" s="4" t="str">
        <f t="shared" si="0"/>
        <v>A</v>
      </c>
    </row>
    <row r="12" spans="1:23" s="4" customFormat="1" ht="15" customHeight="1">
      <c r="A12" s="235" t="s">
        <v>58</v>
      </c>
      <c r="B12" s="267">
        <v>1</v>
      </c>
      <c r="C12" s="19" t="s">
        <v>7</v>
      </c>
      <c r="D12" s="302" t="s">
        <v>5</v>
      </c>
      <c r="E12" s="421">
        <f>0.01*100</f>
        <v>1</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19" t="s">
        <v>6</v>
      </c>
      <c r="V12" s="371">
        <v>100</v>
      </c>
      <c r="W12" s="4" t="str">
        <f t="shared" si="0"/>
        <v>A</v>
      </c>
    </row>
    <row r="13" spans="1:23" s="4" customFormat="1" ht="15" customHeight="1">
      <c r="A13" s="235" t="s">
        <v>9</v>
      </c>
      <c r="B13" s="267">
        <v>1</v>
      </c>
      <c r="C13" s="19" t="s">
        <v>10</v>
      </c>
      <c r="D13" s="306" t="s">
        <v>5</v>
      </c>
      <c r="E13" s="420">
        <f>0.015*100</f>
        <v>1.5</v>
      </c>
      <c r="F13" s="145" t="s">
        <v>5</v>
      </c>
      <c r="G13" s="146" t="s">
        <v>5</v>
      </c>
      <c r="H13" s="175" t="s">
        <v>5</v>
      </c>
      <c r="I13" s="400" t="s">
        <v>5</v>
      </c>
      <c r="J13" s="396" t="s">
        <v>5</v>
      </c>
      <c r="K13" s="175" t="s">
        <v>5</v>
      </c>
      <c r="L13" s="400" t="s">
        <v>5</v>
      </c>
      <c r="M13" s="396" t="s">
        <v>5</v>
      </c>
      <c r="N13" s="175" t="s">
        <v>5</v>
      </c>
      <c r="O13" s="400" t="s">
        <v>5</v>
      </c>
      <c r="P13" s="396" t="s">
        <v>5</v>
      </c>
      <c r="Q13" s="175" t="s">
        <v>5</v>
      </c>
      <c r="R13" s="400" t="s">
        <v>5</v>
      </c>
      <c r="S13" s="396" t="s">
        <v>5</v>
      </c>
      <c r="T13" s="192" t="s">
        <v>5</v>
      </c>
      <c r="U13" s="19" t="s">
        <v>5</v>
      </c>
      <c r="V13" s="371" t="s">
        <v>5</v>
      </c>
      <c r="W13" s="4" t="str">
        <f t="shared" si="0"/>
        <v/>
      </c>
    </row>
    <row r="14" spans="1:23" s="4" customFormat="1" ht="15" customHeight="1">
      <c r="A14" s="235" t="s">
        <v>9</v>
      </c>
      <c r="B14" s="267">
        <v>2</v>
      </c>
      <c r="C14" s="19" t="s">
        <v>8</v>
      </c>
      <c r="D14" s="306" t="s">
        <v>5</v>
      </c>
      <c r="E14" s="420">
        <f>0.048*100</f>
        <v>4.8</v>
      </c>
      <c r="F14" s="145" t="s">
        <v>5</v>
      </c>
      <c r="G14" s="146" t="s">
        <v>5</v>
      </c>
      <c r="H14" s="175" t="s">
        <v>5</v>
      </c>
      <c r="I14" s="400" t="s">
        <v>5</v>
      </c>
      <c r="J14" s="396" t="s">
        <v>5</v>
      </c>
      <c r="K14" s="175" t="s">
        <v>5</v>
      </c>
      <c r="L14" s="400" t="s">
        <v>5</v>
      </c>
      <c r="M14" s="396" t="s">
        <v>5</v>
      </c>
      <c r="N14" s="175" t="s">
        <v>5</v>
      </c>
      <c r="O14" s="400" t="s">
        <v>5</v>
      </c>
      <c r="P14" s="396" t="s">
        <v>5</v>
      </c>
      <c r="Q14" s="175" t="s">
        <v>5</v>
      </c>
      <c r="R14" s="400" t="s">
        <v>5</v>
      </c>
      <c r="S14" s="396" t="s">
        <v>5</v>
      </c>
      <c r="T14" s="192" t="s">
        <v>5</v>
      </c>
      <c r="U14" s="19" t="s">
        <v>6</v>
      </c>
      <c r="V14" s="371">
        <v>100</v>
      </c>
      <c r="W14" s="4" t="str">
        <f t="shared" si="0"/>
        <v>A</v>
      </c>
    </row>
    <row r="15" spans="1:23" s="4" customFormat="1" ht="15" customHeight="1">
      <c r="A15" s="235" t="s">
        <v>52</v>
      </c>
      <c r="B15" s="267">
        <v>1</v>
      </c>
      <c r="C15" s="19" t="s">
        <v>8</v>
      </c>
      <c r="D15" s="303" t="s">
        <v>5</v>
      </c>
      <c r="E15" s="420">
        <f>(0.0655+0.0075+0.0205+0.038+0.001)*100</f>
        <v>13.25</v>
      </c>
      <c r="F15" s="145">
        <v>0</v>
      </c>
      <c r="G15" s="146">
        <v>28224</v>
      </c>
      <c r="H15" s="420">
        <f>(0.0075+0.0205+0.069+0.001)*100</f>
        <v>9.8000000000000007</v>
      </c>
      <c r="I15" s="145">
        <f>G15</f>
        <v>28224</v>
      </c>
      <c r="J15" s="146">
        <f>3*G15</f>
        <v>84672</v>
      </c>
      <c r="K15" s="420">
        <f>(0.0075+0.0205+0.001)*100</f>
        <v>2.9000000000000004</v>
      </c>
      <c r="L15" s="145">
        <f>J15</f>
        <v>84672</v>
      </c>
      <c r="M15" s="146">
        <f>4*G15</f>
        <v>112896</v>
      </c>
      <c r="N15" s="420">
        <f>(0.0075+0.001)*100</f>
        <v>0.85000000000000009</v>
      </c>
      <c r="O15" s="145">
        <f>M15</f>
        <v>112896</v>
      </c>
      <c r="P15" s="396" t="s">
        <v>5</v>
      </c>
      <c r="Q15" s="175" t="s">
        <v>5</v>
      </c>
      <c r="R15" s="400" t="s">
        <v>5</v>
      </c>
      <c r="S15" s="396" t="s">
        <v>5</v>
      </c>
      <c r="T15" s="188" t="s">
        <v>5</v>
      </c>
      <c r="U15" s="19" t="s">
        <v>6</v>
      </c>
      <c r="V15" s="371">
        <f>E15*100/E15</f>
        <v>100</v>
      </c>
      <c r="W15" s="4" t="str">
        <f t="shared" si="0"/>
        <v>A</v>
      </c>
    </row>
    <row r="16" spans="1:23" s="4" customFormat="1" ht="15" customHeight="1">
      <c r="A16" s="272" t="s">
        <v>54</v>
      </c>
      <c r="B16" s="405">
        <v>1</v>
      </c>
      <c r="C16" s="19" t="s">
        <v>8</v>
      </c>
      <c r="D16" s="303" t="s">
        <v>5</v>
      </c>
      <c r="E16" s="420">
        <f>(0.0955+0.07+0.0325+0.0085)*100</f>
        <v>20.650000000000002</v>
      </c>
      <c r="F16" s="145">
        <v>0</v>
      </c>
      <c r="G16" s="146">
        <v>40500</v>
      </c>
      <c r="H16" s="420">
        <f>(0.0955+0.0325)*100</f>
        <v>12.8</v>
      </c>
      <c r="I16" s="145">
        <f>G16</f>
        <v>40500</v>
      </c>
      <c r="J16" s="146">
        <v>54000</v>
      </c>
      <c r="K16" s="175" t="s">
        <v>5</v>
      </c>
      <c r="L16" s="400" t="s">
        <v>5</v>
      </c>
      <c r="M16" s="396" t="s">
        <v>5</v>
      </c>
      <c r="N16" s="175" t="s">
        <v>5</v>
      </c>
      <c r="O16" s="400" t="s">
        <v>5</v>
      </c>
      <c r="P16" s="396" t="s">
        <v>5</v>
      </c>
      <c r="Q16" s="175" t="s">
        <v>5</v>
      </c>
      <c r="R16" s="400" t="s">
        <v>5</v>
      </c>
      <c r="S16" s="396" t="s">
        <v>5</v>
      </c>
      <c r="T16" s="192">
        <f>(G16-F16)*E16/100 + (J16-I16)*H16/100</f>
        <v>10091.250000000002</v>
      </c>
      <c r="U16" s="19" t="s">
        <v>6</v>
      </c>
      <c r="V16" s="375" t="s">
        <v>218</v>
      </c>
      <c r="W16" s="4" t="str">
        <f t="shared" si="0"/>
        <v>A</v>
      </c>
    </row>
    <row r="17" spans="1:23" s="4" customFormat="1" ht="15" customHeight="1">
      <c r="A17" s="235" t="s">
        <v>83</v>
      </c>
      <c r="B17" s="267">
        <v>1</v>
      </c>
      <c r="C17" s="19" t="s">
        <v>7</v>
      </c>
      <c r="D17" s="306" t="s">
        <v>5</v>
      </c>
      <c r="E17" s="420">
        <f>0.159*100</f>
        <v>15.9</v>
      </c>
      <c r="F17" s="145">
        <v>0</v>
      </c>
      <c r="G17" s="146">
        <f>25494/14</f>
        <v>1821</v>
      </c>
      <c r="H17" s="175" t="s">
        <v>5</v>
      </c>
      <c r="I17" s="400" t="s">
        <v>5</v>
      </c>
      <c r="J17" s="396" t="s">
        <v>5</v>
      </c>
      <c r="K17" s="175" t="s">
        <v>5</v>
      </c>
      <c r="L17" s="400" t="s">
        <v>5</v>
      </c>
      <c r="M17" s="396" t="s">
        <v>5</v>
      </c>
      <c r="N17" s="175" t="s">
        <v>5</v>
      </c>
      <c r="O17" s="400" t="s">
        <v>5</v>
      </c>
      <c r="P17" s="396" t="s">
        <v>5</v>
      </c>
      <c r="Q17" s="175" t="s">
        <v>5</v>
      </c>
      <c r="R17" s="400" t="s">
        <v>5</v>
      </c>
      <c r="S17" s="396" t="s">
        <v>5</v>
      </c>
      <c r="T17" s="192">
        <f>G17*E17/100</f>
        <v>289.53899999999999</v>
      </c>
      <c r="U17" s="19" t="s">
        <v>6</v>
      </c>
      <c r="V17" s="371">
        <v>100</v>
      </c>
      <c r="W17" s="4" t="str">
        <f t="shared" si="0"/>
        <v>A</v>
      </c>
    </row>
    <row r="18" spans="1:23" s="4" customFormat="1" ht="15" customHeight="1">
      <c r="A18" s="235" t="s">
        <v>23</v>
      </c>
      <c r="B18" s="267">
        <v>1</v>
      </c>
      <c r="C18" s="19" t="s">
        <v>8</v>
      </c>
      <c r="D18" s="302" t="s">
        <v>5</v>
      </c>
      <c r="E18" s="420">
        <f>0.08*100</f>
        <v>8</v>
      </c>
      <c r="F18" s="145">
        <v>0</v>
      </c>
      <c r="G18" s="146">
        <v>2368850</v>
      </c>
      <c r="H18" s="175" t="s">
        <v>5</v>
      </c>
      <c r="I18" s="400" t="s">
        <v>5</v>
      </c>
      <c r="J18" s="396" t="s">
        <v>5</v>
      </c>
      <c r="K18" s="175" t="s">
        <v>5</v>
      </c>
      <c r="L18" s="400" t="s">
        <v>5</v>
      </c>
      <c r="M18" s="396" t="s">
        <v>5</v>
      </c>
      <c r="N18" s="175" t="s">
        <v>5</v>
      </c>
      <c r="O18" s="400" t="s">
        <v>5</v>
      </c>
      <c r="P18" s="396" t="s">
        <v>5</v>
      </c>
      <c r="Q18" s="175" t="s">
        <v>5</v>
      </c>
      <c r="R18" s="400" t="s">
        <v>5</v>
      </c>
      <c r="S18" s="396" t="s">
        <v>5</v>
      </c>
      <c r="T18" s="203">
        <f>+G18*E18/100</f>
        <v>189508</v>
      </c>
      <c r="U18" s="279" t="s">
        <v>28</v>
      </c>
      <c r="V18" s="371">
        <v>25</v>
      </c>
      <c r="W18" s="4" t="str">
        <f t="shared" si="0"/>
        <v>C</v>
      </c>
    </row>
    <row r="19" spans="1:23" s="4" customFormat="1" ht="15" customHeight="1">
      <c r="A19" s="235" t="s">
        <v>23</v>
      </c>
      <c r="B19" s="267">
        <v>2</v>
      </c>
      <c r="C19" s="19" t="s">
        <v>8</v>
      </c>
      <c r="D19" s="302" t="s">
        <v>5</v>
      </c>
      <c r="E19" s="420">
        <f>(0.03+0.015)*100</f>
        <v>4.5</v>
      </c>
      <c r="F19" s="145" t="s">
        <v>5</v>
      </c>
      <c r="G19" s="146" t="s">
        <v>5</v>
      </c>
      <c r="H19" s="175" t="s">
        <v>5</v>
      </c>
      <c r="I19" s="400" t="s">
        <v>5</v>
      </c>
      <c r="J19" s="396" t="s">
        <v>5</v>
      </c>
      <c r="K19" s="175" t="s">
        <v>5</v>
      </c>
      <c r="L19" s="400" t="s">
        <v>5</v>
      </c>
      <c r="M19" s="396" t="s">
        <v>5</v>
      </c>
      <c r="N19" s="175" t="s">
        <v>5</v>
      </c>
      <c r="O19" s="400" t="s">
        <v>5</v>
      </c>
      <c r="P19" s="396" t="s">
        <v>5</v>
      </c>
      <c r="Q19" s="175" t="s">
        <v>5</v>
      </c>
      <c r="R19" s="400" t="s">
        <v>5</v>
      </c>
      <c r="S19" s="396" t="s">
        <v>5</v>
      </c>
      <c r="T19" s="203" t="s">
        <v>5</v>
      </c>
      <c r="U19" s="23" t="s">
        <v>5</v>
      </c>
      <c r="V19" s="374" t="s">
        <v>5</v>
      </c>
      <c r="W19" s="4" t="str">
        <f t="shared" si="0"/>
        <v/>
      </c>
    </row>
    <row r="20" spans="1:23" s="4" customFormat="1" ht="15" customHeight="1">
      <c r="A20" s="235" t="s">
        <v>68</v>
      </c>
      <c r="B20" s="267">
        <v>1</v>
      </c>
      <c r="C20" s="417" t="s">
        <v>6</v>
      </c>
      <c r="D20" s="385">
        <v>5440</v>
      </c>
      <c r="E20" s="420" t="s">
        <v>24</v>
      </c>
      <c r="F20" s="145">
        <v>809611</v>
      </c>
      <c r="G20" s="146" t="s">
        <v>24</v>
      </c>
      <c r="H20" s="175" t="s">
        <v>5</v>
      </c>
      <c r="I20" s="400" t="s">
        <v>5</v>
      </c>
      <c r="J20" s="396" t="s">
        <v>5</v>
      </c>
      <c r="K20" s="175" t="s">
        <v>5</v>
      </c>
      <c r="L20" s="400" t="s">
        <v>5</v>
      </c>
      <c r="M20" s="396" t="s">
        <v>5</v>
      </c>
      <c r="N20" s="175" t="s">
        <v>5</v>
      </c>
      <c r="O20" s="400" t="s">
        <v>5</v>
      </c>
      <c r="P20" s="396" t="s">
        <v>5</v>
      </c>
      <c r="Q20" s="175" t="s">
        <v>5</v>
      </c>
      <c r="R20" s="400" t="s">
        <v>5</v>
      </c>
      <c r="S20" s="396" t="s">
        <v>5</v>
      </c>
      <c r="T20" s="203" t="s">
        <v>5</v>
      </c>
      <c r="U20" s="54" t="s">
        <v>5</v>
      </c>
      <c r="V20" s="374" t="s">
        <v>5</v>
      </c>
      <c r="W20" s="4" t="str">
        <f t="shared" si="0"/>
        <v/>
      </c>
    </row>
    <row r="21" spans="1:23" s="4" customFormat="1" ht="15" customHeight="1">
      <c r="A21" s="235" t="s">
        <v>68</v>
      </c>
      <c r="B21" s="267">
        <v>2</v>
      </c>
      <c r="C21" s="417" t="s">
        <v>8</v>
      </c>
      <c r="D21" s="386" t="s">
        <v>5</v>
      </c>
      <c r="E21" s="420">
        <v>8</v>
      </c>
      <c r="F21" s="392" t="s">
        <v>5</v>
      </c>
      <c r="G21" s="393" t="s">
        <v>5</v>
      </c>
      <c r="H21" s="175" t="s">
        <v>5</v>
      </c>
      <c r="I21" s="400" t="s">
        <v>5</v>
      </c>
      <c r="J21" s="396" t="s">
        <v>5</v>
      </c>
      <c r="K21" s="175" t="s">
        <v>5</v>
      </c>
      <c r="L21" s="400" t="s">
        <v>5</v>
      </c>
      <c r="M21" s="396" t="s">
        <v>5</v>
      </c>
      <c r="N21" s="175" t="s">
        <v>5</v>
      </c>
      <c r="O21" s="400" t="s">
        <v>5</v>
      </c>
      <c r="P21" s="396" t="s">
        <v>5</v>
      </c>
      <c r="Q21" s="175" t="s">
        <v>5</v>
      </c>
      <c r="R21" s="400" t="s">
        <v>5</v>
      </c>
      <c r="S21" s="396" t="s">
        <v>5</v>
      </c>
      <c r="T21" s="203" t="s">
        <v>5</v>
      </c>
      <c r="U21" s="19" t="s">
        <v>6</v>
      </c>
      <c r="V21" s="371">
        <v>100</v>
      </c>
      <c r="W21" s="4" t="str">
        <f t="shared" si="0"/>
        <v>A</v>
      </c>
    </row>
    <row r="22" spans="1:23" s="4" customFormat="1" ht="15" customHeight="1">
      <c r="A22" s="235" t="s">
        <v>92</v>
      </c>
      <c r="B22" s="267">
        <v>1</v>
      </c>
      <c r="C22" s="19" t="s">
        <v>8</v>
      </c>
      <c r="D22" s="303" t="s">
        <v>5</v>
      </c>
      <c r="E22" s="420">
        <f>0.02*100</f>
        <v>2</v>
      </c>
      <c r="F22" s="145">
        <v>18512</v>
      </c>
      <c r="G22" s="396" t="s">
        <v>5</v>
      </c>
      <c r="H22" s="175" t="s">
        <v>5</v>
      </c>
      <c r="I22" s="400" t="s">
        <v>5</v>
      </c>
      <c r="J22" s="396" t="s">
        <v>5</v>
      </c>
      <c r="K22" s="175" t="s">
        <v>5</v>
      </c>
      <c r="L22" s="400" t="s">
        <v>5</v>
      </c>
      <c r="M22" s="396" t="s">
        <v>5</v>
      </c>
      <c r="N22" s="175" t="s">
        <v>5</v>
      </c>
      <c r="O22" s="400" t="s">
        <v>5</v>
      </c>
      <c r="P22" s="396" t="s">
        <v>5</v>
      </c>
      <c r="Q22" s="175" t="s">
        <v>5</v>
      </c>
      <c r="R22" s="400" t="s">
        <v>5</v>
      </c>
      <c r="S22" s="396" t="s">
        <v>5</v>
      </c>
      <c r="T22" s="188" t="s">
        <v>5</v>
      </c>
      <c r="U22" s="67" t="s">
        <v>5</v>
      </c>
      <c r="V22" s="372" t="s">
        <v>5</v>
      </c>
      <c r="W22" s="4" t="str">
        <f t="shared" si="0"/>
        <v/>
      </c>
    </row>
    <row r="23" spans="1:23" s="4" customFormat="1" ht="15" customHeight="1">
      <c r="A23" s="235" t="s">
        <v>92</v>
      </c>
      <c r="B23" s="267">
        <v>2</v>
      </c>
      <c r="C23" s="19" t="str">
        <f>C22</f>
        <v>AGE</v>
      </c>
      <c r="D23" s="302" t="s">
        <v>5</v>
      </c>
      <c r="E23" s="420">
        <f>0.04*100</f>
        <v>4</v>
      </c>
      <c r="F23" s="145" t="s">
        <v>80</v>
      </c>
      <c r="G23" s="146">
        <v>38740</v>
      </c>
      <c r="H23" s="175" t="s">
        <v>5</v>
      </c>
      <c r="I23" s="400" t="s">
        <v>5</v>
      </c>
      <c r="J23" s="396" t="s">
        <v>5</v>
      </c>
      <c r="K23" s="175" t="s">
        <v>5</v>
      </c>
      <c r="L23" s="400" t="s">
        <v>5</v>
      </c>
      <c r="M23" s="396" t="s">
        <v>5</v>
      </c>
      <c r="N23" s="175" t="s">
        <v>5</v>
      </c>
      <c r="O23" s="400" t="s">
        <v>5</v>
      </c>
      <c r="P23" s="396" t="s">
        <v>5</v>
      </c>
      <c r="Q23" s="175" t="s">
        <v>5</v>
      </c>
      <c r="R23" s="400" t="s">
        <v>5</v>
      </c>
      <c r="S23" s="396" t="s">
        <v>5</v>
      </c>
      <c r="T23" s="203">
        <f>E23*G23/100</f>
        <v>1549.6</v>
      </c>
      <c r="U23" s="23" t="s">
        <v>5</v>
      </c>
      <c r="V23" s="374" t="s">
        <v>5</v>
      </c>
      <c r="W23" s="4" t="str">
        <f t="shared" si="0"/>
        <v/>
      </c>
    </row>
    <row r="24" spans="1:23" s="4" customFormat="1" ht="15" customHeight="1">
      <c r="A24" s="235" t="s">
        <v>69</v>
      </c>
      <c r="B24" s="267">
        <v>1</v>
      </c>
      <c r="C24" s="19" t="s">
        <v>7</v>
      </c>
      <c r="D24" s="303" t="s">
        <v>5</v>
      </c>
      <c r="E24" s="420">
        <f>0.0576*100</f>
        <v>5.76</v>
      </c>
      <c r="F24" s="145">
        <v>0</v>
      </c>
      <c r="G24" s="146">
        <f>41913/12</f>
        <v>3492.75</v>
      </c>
      <c r="H24" s="420">
        <f>0.097*100</f>
        <v>9.7000000000000011</v>
      </c>
      <c r="I24" s="145">
        <f>G24</f>
        <v>3492.75</v>
      </c>
      <c r="J24" s="146">
        <f>420420/12</f>
        <v>35035</v>
      </c>
      <c r="K24" s="420">
        <f>0.0485*100</f>
        <v>4.8500000000000005</v>
      </c>
      <c r="L24" s="145">
        <f>J24</f>
        <v>35035</v>
      </c>
      <c r="M24" s="396" t="s">
        <v>5</v>
      </c>
      <c r="N24" s="175" t="s">
        <v>5</v>
      </c>
      <c r="O24" s="400" t="s">
        <v>5</v>
      </c>
      <c r="P24" s="396" t="s">
        <v>5</v>
      </c>
      <c r="Q24" s="175" t="s">
        <v>5</v>
      </c>
      <c r="R24" s="400" t="s">
        <v>5</v>
      </c>
      <c r="S24" s="396" t="s">
        <v>5</v>
      </c>
      <c r="T24" s="188" t="s">
        <v>5</v>
      </c>
      <c r="U24" s="67" t="s">
        <v>5</v>
      </c>
      <c r="V24" s="372" t="s">
        <v>5</v>
      </c>
      <c r="W24" s="4" t="str">
        <f t="shared" si="0"/>
        <v/>
      </c>
    </row>
    <row r="25" spans="1:23" s="4" customFormat="1" ht="15" customHeight="1">
      <c r="A25" s="235" t="s">
        <v>13</v>
      </c>
      <c r="B25" s="267">
        <v>1</v>
      </c>
      <c r="C25" s="19" t="s">
        <v>8</v>
      </c>
      <c r="D25" s="303" t="s">
        <v>5</v>
      </c>
      <c r="E25" s="420">
        <f>0.0919*100</f>
        <v>9.19</v>
      </c>
      <c r="F25" s="145">
        <v>0</v>
      </c>
      <c r="G25" s="146">
        <v>36093</v>
      </c>
      <c r="H25" s="420">
        <f>0.1019*100</f>
        <v>10.190000000000001</v>
      </c>
      <c r="I25" s="145">
        <f>G25</f>
        <v>36093</v>
      </c>
      <c r="J25" s="146">
        <v>78507</v>
      </c>
      <c r="K25" s="175" t="s">
        <v>5</v>
      </c>
      <c r="L25" s="400" t="s">
        <v>5</v>
      </c>
      <c r="M25" s="396" t="s">
        <v>5</v>
      </c>
      <c r="N25" s="175" t="s">
        <v>5</v>
      </c>
      <c r="O25" s="400" t="s">
        <v>5</v>
      </c>
      <c r="P25" s="396" t="s">
        <v>5</v>
      </c>
      <c r="Q25" s="175" t="s">
        <v>5</v>
      </c>
      <c r="R25" s="400" t="s">
        <v>5</v>
      </c>
      <c r="S25" s="396" t="s">
        <v>5</v>
      </c>
      <c r="T25" s="192">
        <f>((E25/100)*G25)+(H25/100)*(J25-I25)</f>
        <v>7638.9333000000006</v>
      </c>
      <c r="U25" s="279" t="s">
        <v>6</v>
      </c>
      <c r="V25" s="374">
        <v>100</v>
      </c>
      <c r="W25" s="4" t="str">
        <f t="shared" si="0"/>
        <v>A</v>
      </c>
    </row>
    <row r="26" spans="1:23" s="2" customFormat="1" ht="15" customHeight="1">
      <c r="A26" s="235" t="s">
        <v>14</v>
      </c>
      <c r="B26" s="267">
        <v>1</v>
      </c>
      <c r="C26" s="407" t="s">
        <v>7</v>
      </c>
      <c r="D26" s="306" t="s">
        <v>5</v>
      </c>
      <c r="E26" s="420">
        <f>0.08675*100+H26</f>
        <v>13.625</v>
      </c>
      <c r="F26" s="392">
        <v>0</v>
      </c>
      <c r="G26" s="146">
        <f>7080000/12</f>
        <v>590000</v>
      </c>
      <c r="H26" s="420">
        <f>0.0425*100+E27</f>
        <v>4.95</v>
      </c>
      <c r="I26" s="392">
        <f>G26</f>
        <v>590000</v>
      </c>
      <c r="J26" s="146">
        <f>11760000/12</f>
        <v>980000</v>
      </c>
      <c r="K26" s="175" t="s">
        <v>5</v>
      </c>
      <c r="L26" s="400" t="s">
        <v>5</v>
      </c>
      <c r="M26" s="396" t="s">
        <v>5</v>
      </c>
      <c r="N26" s="175" t="s">
        <v>5</v>
      </c>
      <c r="O26" s="400" t="s">
        <v>5</v>
      </c>
      <c r="P26" s="396" t="s">
        <v>5</v>
      </c>
      <c r="Q26" s="175" t="s">
        <v>5</v>
      </c>
      <c r="R26" s="400" t="s">
        <v>5</v>
      </c>
      <c r="S26" s="396" t="s">
        <v>5</v>
      </c>
      <c r="T26" s="203" t="s">
        <v>5</v>
      </c>
      <c r="U26" s="19" t="s">
        <v>6</v>
      </c>
      <c r="V26" s="371">
        <v>100</v>
      </c>
      <c r="W26" s="4" t="str">
        <f t="shared" si="0"/>
        <v>A</v>
      </c>
    </row>
    <row r="27" spans="1:23" s="2" customFormat="1" ht="15" customHeight="1">
      <c r="A27" s="235" t="s">
        <v>14</v>
      </c>
      <c r="B27" s="267">
        <v>2</v>
      </c>
      <c r="C27" s="407" t="s">
        <v>7</v>
      </c>
      <c r="D27" s="302" t="s">
        <v>5</v>
      </c>
      <c r="E27" s="420">
        <f>0.007*100</f>
        <v>0.70000000000000007</v>
      </c>
      <c r="F27" s="392">
        <f>J26</f>
        <v>980000</v>
      </c>
      <c r="G27" s="180" t="s">
        <v>5</v>
      </c>
      <c r="H27" s="120" t="s">
        <v>5</v>
      </c>
      <c r="I27" s="219" t="s">
        <v>5</v>
      </c>
      <c r="J27" s="180" t="s">
        <v>5</v>
      </c>
      <c r="K27" s="120" t="s">
        <v>5</v>
      </c>
      <c r="L27" s="219" t="s">
        <v>5</v>
      </c>
      <c r="M27" s="180" t="s">
        <v>5</v>
      </c>
      <c r="N27" s="120" t="s">
        <v>5</v>
      </c>
      <c r="O27" s="219" t="s">
        <v>5</v>
      </c>
      <c r="P27" s="180" t="s">
        <v>5</v>
      </c>
      <c r="Q27" s="120" t="s">
        <v>5</v>
      </c>
      <c r="R27" s="219" t="s">
        <v>5</v>
      </c>
      <c r="S27" s="180" t="s">
        <v>5</v>
      </c>
      <c r="T27" s="203" t="s">
        <v>5</v>
      </c>
      <c r="U27" s="407" t="s">
        <v>6</v>
      </c>
      <c r="V27" s="418">
        <v>100</v>
      </c>
      <c r="W27" s="4" t="str">
        <f t="shared" si="0"/>
        <v>A</v>
      </c>
    </row>
    <row r="28" spans="1:23" s="2" customFormat="1" ht="15" customHeight="1">
      <c r="A28" s="235" t="s">
        <v>15</v>
      </c>
      <c r="B28" s="267">
        <v>1</v>
      </c>
      <c r="C28" s="407" t="s">
        <v>7</v>
      </c>
      <c r="D28" s="306" t="s">
        <v>5</v>
      </c>
      <c r="E28" s="420">
        <f>(0.045*100)+H28</f>
        <v>6.7</v>
      </c>
      <c r="F28" s="114">
        <v>0</v>
      </c>
      <c r="G28" s="393">
        <f>(1944000/0.045)/12</f>
        <v>3600000</v>
      </c>
      <c r="H28" s="420">
        <f>(0.017*100)+K28</f>
        <v>2.2000000000000002</v>
      </c>
      <c r="I28" s="114">
        <f>G28</f>
        <v>3600000</v>
      </c>
      <c r="J28" s="180">
        <f>(10363200/0.017)/12</f>
        <v>50800000</v>
      </c>
      <c r="K28" s="420">
        <f>0.005*100</f>
        <v>0.5</v>
      </c>
      <c r="L28" s="114">
        <f>J28</f>
        <v>50800000</v>
      </c>
      <c r="M28" s="180" t="s">
        <v>5</v>
      </c>
      <c r="N28" s="175" t="s">
        <v>5</v>
      </c>
      <c r="O28" s="400" t="s">
        <v>5</v>
      </c>
      <c r="P28" s="396" t="s">
        <v>5</v>
      </c>
      <c r="Q28" s="175" t="s">
        <v>5</v>
      </c>
      <c r="R28" s="400" t="s">
        <v>5</v>
      </c>
      <c r="S28" s="396" t="s">
        <v>5</v>
      </c>
      <c r="T28" s="203" t="s">
        <v>5</v>
      </c>
      <c r="U28" s="19" t="s">
        <v>6</v>
      </c>
      <c r="V28" s="371">
        <v>100</v>
      </c>
      <c r="W28" s="4" t="str">
        <f t="shared" si="0"/>
        <v>A</v>
      </c>
    </row>
    <row r="29" spans="1:23" s="40" customFormat="1">
      <c r="A29" s="513" t="s">
        <v>282</v>
      </c>
      <c r="B29" s="500">
        <v>1</v>
      </c>
      <c r="C29" s="30" t="s">
        <v>8</v>
      </c>
      <c r="D29" s="502" t="s">
        <v>5</v>
      </c>
      <c r="E29" s="503">
        <v>9</v>
      </c>
      <c r="F29" s="400">
        <v>0</v>
      </c>
      <c r="G29" s="396">
        <v>24616</v>
      </c>
      <c r="H29" s="501"/>
      <c r="I29" s="504"/>
      <c r="J29" s="505"/>
      <c r="K29" s="501"/>
      <c r="L29" s="504"/>
      <c r="M29" s="505"/>
      <c r="N29" s="506"/>
      <c r="O29" s="504"/>
      <c r="P29" s="505"/>
      <c r="Q29" s="506"/>
      <c r="R29" s="504"/>
      <c r="S29" s="505"/>
      <c r="T29" s="507">
        <f>(E29/100)*G29</f>
        <v>2215.44</v>
      </c>
      <c r="U29" s="62" t="s">
        <v>6</v>
      </c>
      <c r="V29" s="375">
        <v>100</v>
      </c>
      <c r="W29" s="30" t="str">
        <f t="shared" si="0"/>
        <v>A</v>
      </c>
    </row>
    <row r="30" spans="1:23" s="4" customFormat="1" ht="15" customHeight="1">
      <c r="A30" s="235" t="s">
        <v>70</v>
      </c>
      <c r="B30" s="267">
        <v>1</v>
      </c>
      <c r="C30" s="19" t="s">
        <v>8</v>
      </c>
      <c r="D30" s="304" t="s">
        <v>5</v>
      </c>
      <c r="E30" s="420">
        <f>0.1065*100</f>
        <v>10.65</v>
      </c>
      <c r="F30" s="145">
        <v>0</v>
      </c>
      <c r="G30" s="146">
        <v>79348</v>
      </c>
      <c r="H30" s="175" t="s">
        <v>5</v>
      </c>
      <c r="I30" s="400" t="s">
        <v>5</v>
      </c>
      <c r="J30" s="396" t="s">
        <v>5</v>
      </c>
      <c r="K30" s="175" t="s">
        <v>5</v>
      </c>
      <c r="L30" s="400" t="s">
        <v>5</v>
      </c>
      <c r="M30" s="396" t="s">
        <v>5</v>
      </c>
      <c r="N30" s="175" t="s">
        <v>5</v>
      </c>
      <c r="O30" s="400" t="s">
        <v>5</v>
      </c>
      <c r="P30" s="396" t="s">
        <v>5</v>
      </c>
      <c r="Q30" s="175" t="s">
        <v>5</v>
      </c>
      <c r="R30" s="400" t="s">
        <v>5</v>
      </c>
      <c r="S30" s="396" t="s">
        <v>5</v>
      </c>
      <c r="T30" s="192">
        <f>G30*E30/100</f>
        <v>8450.5619999999999</v>
      </c>
      <c r="U30" s="28" t="s">
        <v>6</v>
      </c>
      <c r="V30" s="373">
        <v>100</v>
      </c>
      <c r="W30" s="4" t="str">
        <f t="shared" si="0"/>
        <v>A</v>
      </c>
    </row>
    <row r="31" spans="1:23" s="4" customFormat="1" ht="15" customHeight="1">
      <c r="A31" s="235" t="s">
        <v>70</v>
      </c>
      <c r="B31" s="267">
        <v>2</v>
      </c>
      <c r="C31" s="19" t="s">
        <v>8</v>
      </c>
      <c r="D31" s="304" t="s">
        <v>5</v>
      </c>
      <c r="E31" s="420">
        <f>0.01*100</f>
        <v>1</v>
      </c>
      <c r="F31" s="145">
        <f>0.25*15869.6</f>
        <v>3967.4</v>
      </c>
      <c r="G31" s="180" t="s">
        <v>5</v>
      </c>
      <c r="H31" s="120" t="s">
        <v>5</v>
      </c>
      <c r="I31" s="219" t="s">
        <v>5</v>
      </c>
      <c r="J31" s="180" t="s">
        <v>5</v>
      </c>
      <c r="K31" s="120" t="s">
        <v>5</v>
      </c>
      <c r="L31" s="219" t="s">
        <v>5</v>
      </c>
      <c r="M31" s="180" t="s">
        <v>5</v>
      </c>
      <c r="N31" s="120" t="s">
        <v>5</v>
      </c>
      <c r="O31" s="219" t="s">
        <v>5</v>
      </c>
      <c r="P31" s="180" t="s">
        <v>5</v>
      </c>
      <c r="Q31" s="120" t="s">
        <v>5</v>
      </c>
      <c r="R31" s="219" t="s">
        <v>5</v>
      </c>
      <c r="S31" s="180" t="s">
        <v>5</v>
      </c>
      <c r="T31" s="193" t="s">
        <v>5</v>
      </c>
      <c r="U31" s="7" t="s">
        <v>5</v>
      </c>
      <c r="V31" s="376" t="s">
        <v>5</v>
      </c>
      <c r="W31" s="4" t="str">
        <f t="shared" si="0"/>
        <v/>
      </c>
    </row>
    <row r="32" spans="1:23" s="2" customFormat="1" ht="15" customHeight="1">
      <c r="A32" s="235" t="s">
        <v>71</v>
      </c>
      <c r="B32" s="267">
        <v>1</v>
      </c>
      <c r="C32" s="19" t="s">
        <v>7</v>
      </c>
      <c r="D32" s="386" t="s">
        <v>5</v>
      </c>
      <c r="E32" s="420">
        <f>0.625+0.625</f>
        <v>1.25</v>
      </c>
      <c r="F32" s="145">
        <v>0</v>
      </c>
      <c r="G32" s="146">
        <f>3*42.15*(365/12)</f>
        <v>3846.1875</v>
      </c>
      <c r="H32" s="420">
        <f>E32+1.36</f>
        <v>2.6100000000000003</v>
      </c>
      <c r="I32" s="145">
        <f>G32</f>
        <v>3846.1875</v>
      </c>
      <c r="J32" s="146">
        <f>19*42.15*(365/12)</f>
        <v>24359.1875</v>
      </c>
      <c r="K32" s="420">
        <f>0.625+1.36</f>
        <v>1.9850000000000001</v>
      </c>
      <c r="L32" s="145">
        <f>J32</f>
        <v>24359.1875</v>
      </c>
      <c r="M32" s="146">
        <f>25*42.15*(365/12)</f>
        <v>32051.5625</v>
      </c>
      <c r="N32" s="175" t="s">
        <v>5</v>
      </c>
      <c r="O32" s="400" t="s">
        <v>5</v>
      </c>
      <c r="P32" s="396" t="s">
        <v>5</v>
      </c>
      <c r="Q32" s="175" t="s">
        <v>5</v>
      </c>
      <c r="R32" s="400" t="s">
        <v>5</v>
      </c>
      <c r="S32" s="396" t="s">
        <v>5</v>
      </c>
      <c r="T32" s="202">
        <f>($E$32/100*$G$32)+($H$32/100*($J$32-$I$32))+($K$32/100*($M$32-$L$32))</f>
        <v>736.16028749999998</v>
      </c>
      <c r="U32" s="335" t="s">
        <v>5</v>
      </c>
      <c r="V32" s="343" t="s">
        <v>5</v>
      </c>
      <c r="W32" s="4" t="str">
        <f t="shared" si="0"/>
        <v/>
      </c>
    </row>
    <row r="33" spans="1:25" s="4" customFormat="1" ht="15" customHeight="1">
      <c r="A33" s="339" t="s">
        <v>84</v>
      </c>
      <c r="B33" s="266">
        <v>1</v>
      </c>
      <c r="C33" s="28" t="s">
        <v>6</v>
      </c>
      <c r="D33" s="304" t="s">
        <v>5</v>
      </c>
      <c r="E33" s="420">
        <f>(0.179+0.0125+0.1025)*100</f>
        <v>29.4</v>
      </c>
      <c r="F33" s="114">
        <v>0</v>
      </c>
      <c r="G33" s="115">
        <v>27847</v>
      </c>
      <c r="H33" s="120" t="s">
        <v>5</v>
      </c>
      <c r="I33" s="219" t="s">
        <v>5</v>
      </c>
      <c r="J33" s="180" t="s">
        <v>5</v>
      </c>
      <c r="K33" s="120" t="s">
        <v>5</v>
      </c>
      <c r="L33" s="219" t="s">
        <v>5</v>
      </c>
      <c r="M33" s="180" t="s">
        <v>5</v>
      </c>
      <c r="N33" s="120" t="s">
        <v>5</v>
      </c>
      <c r="O33" s="219" t="s">
        <v>5</v>
      </c>
      <c r="P33" s="180" t="s">
        <v>5</v>
      </c>
      <c r="Q33" s="120" t="s">
        <v>5</v>
      </c>
      <c r="R33" s="219" t="s">
        <v>5</v>
      </c>
      <c r="S33" s="180" t="s">
        <v>5</v>
      </c>
      <c r="T33" s="196">
        <f>(G33-F33)*E33/100</f>
        <v>8187.0179999999991</v>
      </c>
      <c r="U33" s="28" t="s">
        <v>6</v>
      </c>
      <c r="V33" s="373">
        <v>100</v>
      </c>
      <c r="W33" s="4" t="str">
        <f t="shared" si="0"/>
        <v>A</v>
      </c>
    </row>
    <row r="34" spans="1:25" s="4" customFormat="1" ht="15" customHeight="1">
      <c r="A34" s="244" t="s">
        <v>42</v>
      </c>
      <c r="B34" s="299">
        <v>0</v>
      </c>
      <c r="C34" s="422" t="s">
        <v>250</v>
      </c>
      <c r="D34" s="432" t="s">
        <v>5</v>
      </c>
      <c r="E34" s="423" t="s">
        <v>5</v>
      </c>
      <c r="F34" s="434" t="s">
        <v>5</v>
      </c>
      <c r="G34" s="435" t="s">
        <v>5</v>
      </c>
      <c r="H34" s="175" t="s">
        <v>5</v>
      </c>
      <c r="I34" s="400" t="s">
        <v>5</v>
      </c>
      <c r="J34" s="396" t="s">
        <v>5</v>
      </c>
      <c r="K34" s="175" t="s">
        <v>5</v>
      </c>
      <c r="L34" s="400" t="s">
        <v>5</v>
      </c>
      <c r="M34" s="396" t="s">
        <v>5</v>
      </c>
      <c r="N34" s="175" t="s">
        <v>5</v>
      </c>
      <c r="O34" s="400" t="s">
        <v>5</v>
      </c>
      <c r="P34" s="396" t="s">
        <v>5</v>
      </c>
      <c r="Q34" s="175" t="s">
        <v>5</v>
      </c>
      <c r="R34" s="400" t="s">
        <v>5</v>
      </c>
      <c r="S34" s="396" t="s">
        <v>5</v>
      </c>
      <c r="T34" s="201" t="s">
        <v>5</v>
      </c>
      <c r="U34" s="422" t="s">
        <v>5</v>
      </c>
      <c r="V34" s="427" t="s">
        <v>5</v>
      </c>
      <c r="W34" s="4" t="str">
        <f t="shared" si="0"/>
        <v/>
      </c>
    </row>
    <row r="35" spans="1:25" s="4" customFormat="1" ht="15" customHeight="1">
      <c r="A35" s="235" t="s">
        <v>16</v>
      </c>
      <c r="B35" s="267">
        <v>1</v>
      </c>
      <c r="C35" s="19" t="s">
        <v>8</v>
      </c>
      <c r="D35" s="302" t="s">
        <v>5</v>
      </c>
      <c r="E35" s="420">
        <f>0.078*100</f>
        <v>7.8</v>
      </c>
      <c r="F35" s="145" t="s">
        <v>36</v>
      </c>
      <c r="G35" s="146" t="s">
        <v>5</v>
      </c>
      <c r="H35" s="175" t="s">
        <v>5</v>
      </c>
      <c r="I35" s="400" t="s">
        <v>5</v>
      </c>
      <c r="J35" s="396" t="s">
        <v>5</v>
      </c>
      <c r="K35" s="175" t="s">
        <v>5</v>
      </c>
      <c r="L35" s="400" t="s">
        <v>5</v>
      </c>
      <c r="M35" s="396" t="s">
        <v>5</v>
      </c>
      <c r="N35" s="175" t="s">
        <v>5</v>
      </c>
      <c r="O35" s="400" t="s">
        <v>5</v>
      </c>
      <c r="P35" s="396" t="s">
        <v>5</v>
      </c>
      <c r="Q35" s="175" t="s">
        <v>5</v>
      </c>
      <c r="R35" s="400" t="s">
        <v>5</v>
      </c>
      <c r="S35" s="396" t="s">
        <v>5</v>
      </c>
      <c r="T35" s="202" t="s">
        <v>5</v>
      </c>
      <c r="U35" s="54" t="s">
        <v>5</v>
      </c>
      <c r="V35" s="374" t="s">
        <v>5</v>
      </c>
      <c r="W35" s="4" t="str">
        <f t="shared" si="0"/>
        <v/>
      </c>
    </row>
    <row r="36" spans="1:25" s="4" customFormat="1" ht="15" customHeight="1">
      <c r="A36" s="235" t="s">
        <v>72</v>
      </c>
      <c r="B36" s="267">
        <v>1</v>
      </c>
      <c r="C36" s="19" t="s">
        <v>8</v>
      </c>
      <c r="D36" s="303" t="s">
        <v>5</v>
      </c>
      <c r="E36" s="420">
        <f>(0.061098+0.065)*100</f>
        <v>12.609799999999998</v>
      </c>
      <c r="F36" s="145">
        <v>0</v>
      </c>
      <c r="G36" s="146">
        <v>64620</v>
      </c>
      <c r="H36" s="420">
        <f>0.0245*100</f>
        <v>2.4500000000000002</v>
      </c>
      <c r="I36" s="145">
        <v>64620</v>
      </c>
      <c r="J36" s="396" t="s">
        <v>5</v>
      </c>
      <c r="K36" s="175" t="s">
        <v>5</v>
      </c>
      <c r="L36" s="400" t="s">
        <v>5</v>
      </c>
      <c r="M36" s="396" t="s">
        <v>5</v>
      </c>
      <c r="N36" s="175" t="s">
        <v>5</v>
      </c>
      <c r="O36" s="400" t="s">
        <v>5</v>
      </c>
      <c r="P36" s="396" t="s">
        <v>5</v>
      </c>
      <c r="Q36" s="175" t="s">
        <v>5</v>
      </c>
      <c r="R36" s="400" t="s">
        <v>5</v>
      </c>
      <c r="S36" s="396" t="s">
        <v>5</v>
      </c>
      <c r="T36" s="199" t="s">
        <v>5</v>
      </c>
      <c r="U36" s="19" t="s">
        <v>6</v>
      </c>
      <c r="V36" s="371">
        <v>100</v>
      </c>
      <c r="W36" s="4" t="str">
        <f t="shared" si="0"/>
        <v>A</v>
      </c>
    </row>
    <row r="37" spans="1:25" s="4" customFormat="1" ht="15" customHeight="1">
      <c r="A37" s="235" t="s">
        <v>72</v>
      </c>
      <c r="B37" s="267">
        <v>2</v>
      </c>
      <c r="C37" s="19" t="s">
        <v>8</v>
      </c>
      <c r="D37" s="302" t="s">
        <v>5</v>
      </c>
      <c r="E37" s="420">
        <f>0.0775*100</f>
        <v>7.75</v>
      </c>
      <c r="F37" s="145" t="s">
        <v>5</v>
      </c>
      <c r="G37" s="146" t="s">
        <v>5</v>
      </c>
      <c r="H37" s="175" t="s">
        <v>5</v>
      </c>
      <c r="I37" s="400" t="s">
        <v>5</v>
      </c>
      <c r="J37" s="396" t="s">
        <v>5</v>
      </c>
      <c r="K37" s="175" t="s">
        <v>5</v>
      </c>
      <c r="L37" s="400" t="s">
        <v>5</v>
      </c>
      <c r="M37" s="396" t="s">
        <v>5</v>
      </c>
      <c r="N37" s="175" t="s">
        <v>5</v>
      </c>
      <c r="O37" s="400" t="s">
        <v>5</v>
      </c>
      <c r="P37" s="396" t="s">
        <v>5</v>
      </c>
      <c r="Q37" s="175" t="s">
        <v>5</v>
      </c>
      <c r="R37" s="400" t="s">
        <v>5</v>
      </c>
      <c r="S37" s="396" t="s">
        <v>5</v>
      </c>
      <c r="T37" s="202" t="s">
        <v>5</v>
      </c>
      <c r="U37" s="28" t="s">
        <v>5</v>
      </c>
      <c r="V37" s="373" t="s">
        <v>5</v>
      </c>
      <c r="W37" s="4" t="str">
        <f t="shared" si="0"/>
        <v/>
      </c>
    </row>
    <row r="38" spans="1:25" s="4" customFormat="1" ht="15" customHeight="1">
      <c r="A38" s="235" t="s">
        <v>17</v>
      </c>
      <c r="B38" s="267">
        <v>1</v>
      </c>
      <c r="C38" s="19" t="s">
        <v>7</v>
      </c>
      <c r="D38" s="302" t="s">
        <v>5</v>
      </c>
      <c r="E38" s="420">
        <f>0.11*100</f>
        <v>11</v>
      </c>
      <c r="F38" s="145" t="s">
        <v>5</v>
      </c>
      <c r="G38" s="146" t="s">
        <v>5</v>
      </c>
      <c r="H38" s="175" t="s">
        <v>5</v>
      </c>
      <c r="I38" s="400" t="s">
        <v>5</v>
      </c>
      <c r="J38" s="396" t="s">
        <v>5</v>
      </c>
      <c r="K38" s="175" t="s">
        <v>5</v>
      </c>
      <c r="L38" s="400" t="s">
        <v>5</v>
      </c>
      <c r="M38" s="396" t="s">
        <v>5</v>
      </c>
      <c r="N38" s="175" t="s">
        <v>5</v>
      </c>
      <c r="O38" s="400" t="s">
        <v>5</v>
      </c>
      <c r="P38" s="396" t="s">
        <v>5</v>
      </c>
      <c r="Q38" s="175" t="s">
        <v>5</v>
      </c>
      <c r="R38" s="400" t="s">
        <v>5</v>
      </c>
      <c r="S38" s="396" t="s">
        <v>5</v>
      </c>
      <c r="T38" s="202" t="s">
        <v>5</v>
      </c>
      <c r="U38" s="19" t="s">
        <v>6</v>
      </c>
      <c r="V38" s="371">
        <v>100</v>
      </c>
      <c r="W38" s="4" t="str">
        <f t="shared" si="0"/>
        <v>A</v>
      </c>
    </row>
    <row r="39" spans="1:25" s="4" customFormat="1" ht="15" customHeight="1">
      <c r="A39" s="235" t="s">
        <v>51</v>
      </c>
      <c r="B39" s="266">
        <v>1</v>
      </c>
      <c r="C39" s="19" t="s">
        <v>7</v>
      </c>
      <c r="D39" s="304" t="s">
        <v>5</v>
      </c>
      <c r="E39" s="127">
        <f>(0.078+0.04+0.01)*100</f>
        <v>12.8</v>
      </c>
      <c r="F39" s="145" t="str">
        <f>"["&amp;ROUND(168.71,1)&amp;"]"</f>
        <v>[168.7]</v>
      </c>
      <c r="G39" s="146">
        <f>9559.84863572993/12</f>
        <v>796.65405297749419</v>
      </c>
      <c r="H39" s="499">
        <f>(0.078+0.04)*100</f>
        <v>11.799999999999999</v>
      </c>
      <c r="I39" s="400">
        <f>G39</f>
        <v>796.65405297749419</v>
      </c>
      <c r="J39" s="396">
        <f>12746.4648476399/12</f>
        <v>1062.2054039699917</v>
      </c>
      <c r="K39" s="175" t="s">
        <v>5</v>
      </c>
      <c r="L39" s="400" t="s">
        <v>5</v>
      </c>
      <c r="M39" s="396" t="s">
        <v>5</v>
      </c>
      <c r="N39" s="175" t="s">
        <v>5</v>
      </c>
      <c r="O39" s="400" t="s">
        <v>5</v>
      </c>
      <c r="P39" s="396" t="s">
        <v>5</v>
      </c>
      <c r="Q39" s="175" t="s">
        <v>5</v>
      </c>
      <c r="R39" s="400" t="s">
        <v>5</v>
      </c>
      <c r="S39" s="396" t="s">
        <v>5</v>
      </c>
      <c r="T39" s="202">
        <f>(E39*G39)/100+(H39*J39)/100</f>
        <v>227.31195644957828</v>
      </c>
      <c r="U39" s="28" t="s">
        <v>6</v>
      </c>
      <c r="V39" s="373">
        <v>100</v>
      </c>
      <c r="W39" s="4" t="str">
        <f t="shared" si="0"/>
        <v>A</v>
      </c>
    </row>
    <row r="40" spans="1:25" s="4" customFormat="1" ht="15" customHeight="1">
      <c r="A40" s="235" t="s">
        <v>59</v>
      </c>
      <c r="B40" s="267">
        <v>1</v>
      </c>
      <c r="C40" s="19" t="s">
        <v>7</v>
      </c>
      <c r="D40" s="303" t="s">
        <v>5</v>
      </c>
      <c r="E40" s="420">
        <f>0.221*100</f>
        <v>22.1</v>
      </c>
      <c r="F40" s="400" t="s">
        <v>5</v>
      </c>
      <c r="G40" s="396" t="s">
        <v>5</v>
      </c>
      <c r="H40" s="175" t="s">
        <v>5</v>
      </c>
      <c r="I40" s="400" t="s">
        <v>5</v>
      </c>
      <c r="J40" s="396" t="s">
        <v>5</v>
      </c>
      <c r="K40" s="175" t="s">
        <v>5</v>
      </c>
      <c r="L40" s="400" t="s">
        <v>5</v>
      </c>
      <c r="M40" s="396" t="s">
        <v>5</v>
      </c>
      <c r="N40" s="175" t="s">
        <v>5</v>
      </c>
      <c r="O40" s="400" t="s">
        <v>5</v>
      </c>
      <c r="P40" s="396" t="s">
        <v>5</v>
      </c>
      <c r="Q40" s="175" t="s">
        <v>5</v>
      </c>
      <c r="R40" s="400" t="s">
        <v>5</v>
      </c>
      <c r="S40" s="396" t="s">
        <v>5</v>
      </c>
      <c r="T40" s="199" t="s">
        <v>5</v>
      </c>
      <c r="U40" s="28" t="s">
        <v>6</v>
      </c>
      <c r="V40" s="373">
        <v>100</v>
      </c>
      <c r="W40" s="4" t="str">
        <f t="shared" si="0"/>
        <v>A</v>
      </c>
    </row>
    <row r="41" spans="1:25" s="4" customFormat="1" ht="15" customHeight="1">
      <c r="A41" s="235" t="s">
        <v>213</v>
      </c>
      <c r="B41" s="267">
        <v>1</v>
      </c>
      <c r="C41" s="19" t="s">
        <v>8</v>
      </c>
      <c r="D41" s="302" t="s">
        <v>5</v>
      </c>
      <c r="E41" s="420">
        <f>(0.047+0.0155+0.001)*100</f>
        <v>6.35</v>
      </c>
      <c r="F41" s="145">
        <v>0</v>
      </c>
      <c r="G41" s="146">
        <v>30898.799999999999</v>
      </c>
      <c r="H41" s="175" t="s">
        <v>5</v>
      </c>
      <c r="I41" s="400" t="s">
        <v>5</v>
      </c>
      <c r="J41" s="396" t="s">
        <v>5</v>
      </c>
      <c r="K41" s="175" t="s">
        <v>5</v>
      </c>
      <c r="L41" s="400" t="s">
        <v>5</v>
      </c>
      <c r="M41" s="396" t="s">
        <v>5</v>
      </c>
      <c r="N41" s="175" t="s">
        <v>5</v>
      </c>
      <c r="O41" s="400" t="s">
        <v>5</v>
      </c>
      <c r="P41" s="396" t="s">
        <v>5</v>
      </c>
      <c r="Q41" s="175" t="s">
        <v>5</v>
      </c>
      <c r="R41" s="400" t="s">
        <v>5</v>
      </c>
      <c r="S41" s="396" t="s">
        <v>5</v>
      </c>
      <c r="T41" s="196">
        <f>G41*(E41/100)</f>
        <v>1962.0737999999999</v>
      </c>
      <c r="U41" s="19" t="s">
        <v>6</v>
      </c>
      <c r="V41" s="371">
        <v>100</v>
      </c>
      <c r="W41" s="4" t="str">
        <f t="shared" si="0"/>
        <v>A</v>
      </c>
    </row>
    <row r="42" spans="1:25" s="4" customFormat="1" ht="15" customHeight="1">
      <c r="A42" s="339" t="s">
        <v>73</v>
      </c>
      <c r="B42" s="266">
        <v>1</v>
      </c>
      <c r="C42" s="19" t="s">
        <v>8</v>
      </c>
      <c r="D42" s="303" t="s">
        <v>5</v>
      </c>
      <c r="E42" s="420">
        <f>0.07*100</f>
        <v>7.0000000000000009</v>
      </c>
      <c r="F42" s="145" t="str">
        <f>"["&amp;ROUND(0.293*37900,0)&amp;"]"</f>
        <v>[11105]</v>
      </c>
      <c r="G42" s="146">
        <f>8.07*38700</f>
        <v>312309</v>
      </c>
      <c r="H42" s="175" t="s">
        <v>5</v>
      </c>
      <c r="I42" s="400" t="s">
        <v>5</v>
      </c>
      <c r="J42" s="396" t="s">
        <v>5</v>
      </c>
      <c r="K42" s="175" t="s">
        <v>5</v>
      </c>
      <c r="L42" s="400" t="s">
        <v>5</v>
      </c>
      <c r="M42" s="396" t="s">
        <v>5</v>
      </c>
      <c r="N42" s="175" t="s">
        <v>5</v>
      </c>
      <c r="O42" s="400" t="s">
        <v>5</v>
      </c>
      <c r="P42" s="396" t="s">
        <v>5</v>
      </c>
      <c r="Q42" s="175" t="s">
        <v>5</v>
      </c>
      <c r="R42" s="400" t="s">
        <v>5</v>
      </c>
      <c r="S42" s="396" t="s">
        <v>5</v>
      </c>
      <c r="T42" s="196">
        <f>ROUND(E42*G42/100,-2)</f>
        <v>21900</v>
      </c>
      <c r="U42" s="19" t="s">
        <v>18</v>
      </c>
      <c r="V42" s="371">
        <v>25</v>
      </c>
      <c r="W42" s="4" t="str">
        <f t="shared" si="0"/>
        <v>AB</v>
      </c>
      <c r="X42" s="34"/>
      <c r="Y42" s="34"/>
    </row>
    <row r="43" spans="1:25" s="4" customFormat="1" ht="15" customHeight="1">
      <c r="A43" s="235" t="s">
        <v>74</v>
      </c>
      <c r="B43" s="267">
        <v>1</v>
      </c>
      <c r="C43" s="19" t="s">
        <v>8</v>
      </c>
      <c r="D43" s="303" t="s">
        <v>5</v>
      </c>
      <c r="E43" s="420">
        <f>(0.015*100)+K43</f>
        <v>6.5500000000000007</v>
      </c>
      <c r="F43" s="145">
        <v>0</v>
      </c>
      <c r="G43" s="146">
        <v>106800</v>
      </c>
      <c r="H43" s="420">
        <f>(0.01*100)+K43</f>
        <v>6.0500000000000007</v>
      </c>
      <c r="I43" s="145">
        <f>G43</f>
        <v>106800</v>
      </c>
      <c r="J43" s="146">
        <v>267000</v>
      </c>
      <c r="K43" s="420">
        <f>0.0505*100</f>
        <v>5.0500000000000007</v>
      </c>
      <c r="L43" s="145">
        <f>J43</f>
        <v>267000</v>
      </c>
      <c r="M43" s="396" t="s">
        <v>5</v>
      </c>
      <c r="N43" s="175" t="s">
        <v>5</v>
      </c>
      <c r="O43" s="400" t="s">
        <v>5</v>
      </c>
      <c r="P43" s="396" t="s">
        <v>5</v>
      </c>
      <c r="Q43" s="175" t="s">
        <v>5</v>
      </c>
      <c r="R43" s="400" t="s">
        <v>5</v>
      </c>
      <c r="S43" s="396" t="s">
        <v>5</v>
      </c>
      <c r="T43" s="199" t="s">
        <v>5</v>
      </c>
      <c r="U43" s="19" t="s">
        <v>6</v>
      </c>
      <c r="V43" s="371">
        <v>100</v>
      </c>
      <c r="W43" s="4" t="str">
        <f t="shared" si="0"/>
        <v>A</v>
      </c>
    </row>
    <row r="44" spans="1:25" s="4" customFormat="1" ht="15" customHeight="1">
      <c r="A44" s="339" t="s">
        <v>32</v>
      </c>
      <c r="B44" s="266">
        <v>1</v>
      </c>
      <c r="C44" s="62" t="s">
        <v>8</v>
      </c>
      <c r="D44" s="302" t="s">
        <v>5</v>
      </c>
      <c r="E44" s="420">
        <v>15</v>
      </c>
      <c r="F44" s="436" t="str">
        <f>"/"&amp;ROUND(2837.28,0)&amp;"/"</f>
        <v>/2837/</v>
      </c>
      <c r="G44" s="437">
        <v>17145.578699999998</v>
      </c>
      <c r="H44" s="482" t="s">
        <v>5</v>
      </c>
      <c r="I44" s="483" t="s">
        <v>5</v>
      </c>
      <c r="J44" s="484" t="s">
        <v>5</v>
      </c>
      <c r="K44" s="482" t="s">
        <v>5</v>
      </c>
      <c r="L44" s="483" t="s">
        <v>5</v>
      </c>
      <c r="M44" s="484" t="s">
        <v>5</v>
      </c>
      <c r="N44" s="482" t="s">
        <v>5</v>
      </c>
      <c r="O44" s="483" t="s">
        <v>5</v>
      </c>
      <c r="P44" s="484" t="s">
        <v>5</v>
      </c>
      <c r="Q44" s="482" t="s">
        <v>5</v>
      </c>
      <c r="R44" s="483" t="s">
        <v>5</v>
      </c>
      <c r="S44" s="484" t="s">
        <v>5</v>
      </c>
      <c r="T44" s="196">
        <f>G44*E44/100</f>
        <v>2571.8368049999995</v>
      </c>
      <c r="U44" s="19" t="s">
        <v>6</v>
      </c>
      <c r="V44" s="371">
        <v>100</v>
      </c>
      <c r="W44" s="4" t="str">
        <f t="shared" si="0"/>
        <v>A</v>
      </c>
    </row>
    <row r="45" spans="1:25" s="34" customFormat="1" ht="15" customHeight="1">
      <c r="A45" s="428" t="s">
        <v>47</v>
      </c>
      <c r="B45" s="431">
        <v>1</v>
      </c>
      <c r="C45" s="424" t="s">
        <v>19</v>
      </c>
      <c r="D45" s="433" t="s">
        <v>5</v>
      </c>
      <c r="E45" s="420">
        <f>0.1*100</f>
        <v>10</v>
      </c>
      <c r="F45" s="438">
        <f>4628/52</f>
        <v>89</v>
      </c>
      <c r="G45" s="439">
        <f>30420/52</f>
        <v>585</v>
      </c>
      <c r="H45" s="485" t="s">
        <v>5</v>
      </c>
      <c r="I45" s="486" t="s">
        <v>5</v>
      </c>
      <c r="J45" s="487" t="s">
        <v>5</v>
      </c>
      <c r="K45" s="485" t="s">
        <v>5</v>
      </c>
      <c r="L45" s="486" t="s">
        <v>5</v>
      </c>
      <c r="M45" s="487" t="s">
        <v>5</v>
      </c>
      <c r="N45" s="485" t="s">
        <v>5</v>
      </c>
      <c r="O45" s="486" t="s">
        <v>5</v>
      </c>
      <c r="P45" s="487" t="s">
        <v>5</v>
      </c>
      <c r="Q45" s="485" t="s">
        <v>5</v>
      </c>
      <c r="R45" s="486" t="s">
        <v>5</v>
      </c>
      <c r="S45" s="487" t="s">
        <v>5</v>
      </c>
      <c r="T45" s="425">
        <f>(G45-F45)*E45/100</f>
        <v>49.6</v>
      </c>
      <c r="U45" s="426" t="s">
        <v>5</v>
      </c>
      <c r="V45" s="429" t="s">
        <v>5</v>
      </c>
      <c r="W45" s="4" t="str">
        <f t="shared" si="0"/>
        <v/>
      </c>
    </row>
    <row r="46" spans="1:25" s="24" customFormat="1" ht="15" customHeight="1">
      <c r="A46" s="246" t="s">
        <v>20</v>
      </c>
      <c r="B46" s="269">
        <v>1</v>
      </c>
      <c r="C46" s="292" t="s">
        <v>8</v>
      </c>
      <c r="D46" s="311" t="s">
        <v>5</v>
      </c>
      <c r="E46" s="430">
        <f>(0.062*100)+H46</f>
        <v>7.65</v>
      </c>
      <c r="F46" s="440">
        <v>0</v>
      </c>
      <c r="G46" s="441">
        <v>84900</v>
      </c>
      <c r="H46" s="430">
        <f>0.0145*100</f>
        <v>1.4500000000000002</v>
      </c>
      <c r="I46" s="440">
        <f>G46</f>
        <v>84900</v>
      </c>
      <c r="J46" s="442" t="s">
        <v>5</v>
      </c>
      <c r="K46" s="488" t="s">
        <v>5</v>
      </c>
      <c r="L46" s="489" t="s">
        <v>5</v>
      </c>
      <c r="M46" s="442" t="s">
        <v>5</v>
      </c>
      <c r="N46" s="488" t="s">
        <v>5</v>
      </c>
      <c r="O46" s="489" t="s">
        <v>5</v>
      </c>
      <c r="P46" s="442" t="s">
        <v>5</v>
      </c>
      <c r="Q46" s="488" t="s">
        <v>5</v>
      </c>
      <c r="R46" s="489" t="s">
        <v>5</v>
      </c>
      <c r="S46" s="442" t="s">
        <v>5</v>
      </c>
      <c r="T46" s="403" t="s">
        <v>5</v>
      </c>
      <c r="U46" s="249" t="s">
        <v>5</v>
      </c>
      <c r="V46" s="380" t="s">
        <v>5</v>
      </c>
      <c r="W46" s="4" t="str">
        <f t="shared" si="0"/>
        <v/>
      </c>
      <c r="X46" s="4"/>
      <c r="Y46" s="4"/>
    </row>
    <row r="47" spans="1:25" s="75" customFormat="1" ht="15" customHeight="1">
      <c r="A47" s="179"/>
      <c r="B47" s="172"/>
      <c r="C47" s="92"/>
      <c r="D47" s="153"/>
      <c r="E47" s="154"/>
      <c r="F47" s="155"/>
      <c r="G47" s="155"/>
      <c r="H47" s="155"/>
      <c r="I47" s="155"/>
      <c r="J47" s="155"/>
      <c r="K47" s="155"/>
      <c r="L47" s="155"/>
      <c r="M47" s="155"/>
      <c r="N47" s="155"/>
      <c r="O47" s="155"/>
      <c r="P47" s="155"/>
      <c r="Q47" s="155"/>
      <c r="R47" s="155"/>
      <c r="S47" s="155"/>
      <c r="T47" s="156"/>
      <c r="U47" s="95"/>
      <c r="V47" s="96"/>
      <c r="W47" s="4"/>
      <c r="X47" s="76"/>
      <c r="Y47" s="76"/>
    </row>
    <row r="48" spans="1:25" s="75" customFormat="1" ht="12.75" customHeight="1">
      <c r="A48" s="553" t="s">
        <v>94</v>
      </c>
      <c r="B48" s="553"/>
      <c r="C48" s="553"/>
      <c r="D48" s="554"/>
      <c r="E48" s="553"/>
      <c r="F48" s="553"/>
      <c r="G48" s="553"/>
      <c r="H48" s="553"/>
      <c r="I48" s="553"/>
      <c r="J48" s="553"/>
      <c r="K48" s="553"/>
      <c r="L48" s="553"/>
      <c r="M48" s="553"/>
      <c r="N48" s="553"/>
      <c r="O48" s="553"/>
      <c r="P48" s="553"/>
      <c r="Q48" s="553"/>
      <c r="R48" s="553"/>
      <c r="S48" s="553"/>
      <c r="T48" s="555"/>
      <c r="U48" s="556"/>
      <c r="V48" s="556"/>
    </row>
    <row r="49" spans="1:22" s="76" customFormat="1" ht="12.75" customHeight="1">
      <c r="A49" s="539" t="s">
        <v>95</v>
      </c>
      <c r="B49" s="539"/>
      <c r="C49" s="539"/>
      <c r="D49" s="550"/>
      <c r="E49" s="550"/>
      <c r="F49" s="550"/>
      <c r="G49" s="550"/>
      <c r="H49" s="550"/>
      <c r="I49" s="550"/>
      <c r="J49" s="550"/>
      <c r="K49" s="550"/>
      <c r="L49" s="550"/>
      <c r="M49" s="550"/>
      <c r="N49" s="550"/>
      <c r="O49" s="550"/>
      <c r="P49" s="550"/>
      <c r="Q49" s="550"/>
      <c r="R49" s="550"/>
      <c r="S49" s="550"/>
      <c r="T49" s="550"/>
      <c r="U49" s="551"/>
      <c r="V49" s="551"/>
    </row>
    <row r="50" spans="1:22" s="76" customFormat="1" ht="12.75" customHeight="1">
      <c r="A50" s="539" t="s">
        <v>107</v>
      </c>
      <c r="B50" s="539"/>
      <c r="C50" s="539"/>
      <c r="D50" s="550"/>
      <c r="E50" s="550"/>
      <c r="F50" s="550"/>
      <c r="G50" s="550"/>
      <c r="H50" s="550"/>
      <c r="I50" s="550"/>
      <c r="J50" s="550"/>
      <c r="K50" s="550"/>
      <c r="L50" s="550"/>
      <c r="M50" s="550"/>
      <c r="N50" s="550"/>
      <c r="O50" s="550"/>
      <c r="P50" s="550"/>
      <c r="Q50" s="550"/>
      <c r="R50" s="550"/>
      <c r="S50" s="550"/>
      <c r="T50" s="550"/>
      <c r="U50" s="551"/>
      <c r="V50" s="551"/>
    </row>
    <row r="51" spans="1:22" s="76" customFormat="1" ht="12.75" customHeight="1">
      <c r="A51" s="539" t="s">
        <v>108</v>
      </c>
      <c r="B51" s="539"/>
      <c r="C51" s="539"/>
      <c r="D51" s="550"/>
      <c r="E51" s="550"/>
      <c r="F51" s="550"/>
      <c r="G51" s="550"/>
      <c r="H51" s="550"/>
      <c r="I51" s="550"/>
      <c r="J51" s="550"/>
      <c r="K51" s="550"/>
      <c r="L51" s="550"/>
      <c r="M51" s="550"/>
      <c r="N51" s="550"/>
      <c r="O51" s="550"/>
      <c r="P51" s="550"/>
      <c r="Q51" s="550"/>
      <c r="R51" s="550"/>
      <c r="S51" s="550"/>
      <c r="T51" s="550"/>
      <c r="U51" s="551"/>
      <c r="V51" s="551"/>
    </row>
    <row r="52" spans="1:22" s="76" customFormat="1" ht="12.75" customHeight="1">
      <c r="A52" s="516" t="s">
        <v>1</v>
      </c>
      <c r="B52" s="84" t="s">
        <v>122</v>
      </c>
      <c r="C52" s="509" t="s">
        <v>123</v>
      </c>
      <c r="D52" s="103"/>
      <c r="E52" s="103"/>
      <c r="F52" s="104"/>
      <c r="U52" s="99"/>
      <c r="V52" s="99"/>
    </row>
    <row r="53" spans="1:22" s="76" customFormat="1" ht="12.75" customHeight="1">
      <c r="A53" s="517"/>
      <c r="B53" s="85" t="s">
        <v>124</v>
      </c>
      <c r="C53" s="510" t="s">
        <v>126</v>
      </c>
      <c r="D53" s="105"/>
      <c r="E53" s="105"/>
      <c r="F53" s="106"/>
      <c r="U53" s="83"/>
      <c r="V53" s="83"/>
    </row>
    <row r="54" spans="1:22" s="76" customFormat="1" ht="12.75" customHeight="1">
      <c r="A54" s="517"/>
      <c r="B54" s="86" t="s">
        <v>125</v>
      </c>
      <c r="C54" s="511" t="s">
        <v>136</v>
      </c>
      <c r="D54" s="107"/>
      <c r="E54" s="107"/>
      <c r="F54" s="108"/>
      <c r="U54" s="83"/>
      <c r="V54" s="83"/>
    </row>
    <row r="55" spans="1:22" s="76" customFormat="1" ht="12.75" customHeight="1">
      <c r="A55" s="517"/>
      <c r="C55" s="78"/>
      <c r="D55" s="93"/>
      <c r="E55" s="93"/>
      <c r="F55" s="93"/>
      <c r="U55" s="83"/>
      <c r="V55" s="83"/>
    </row>
    <row r="56" spans="1:22" s="76" customFormat="1" ht="12.75" customHeight="1">
      <c r="A56" s="518" t="s">
        <v>127</v>
      </c>
      <c r="B56" s="84" t="s">
        <v>128</v>
      </c>
      <c r="C56" s="509" t="s">
        <v>129</v>
      </c>
      <c r="D56" s="103"/>
      <c r="E56" s="103"/>
      <c r="F56" s="104"/>
      <c r="U56" s="99"/>
      <c r="V56" s="99"/>
    </row>
    <row r="57" spans="1:22" s="76" customFormat="1" ht="12.75" customHeight="1">
      <c r="A57" s="517"/>
      <c r="B57" s="85" t="s">
        <v>130</v>
      </c>
      <c r="C57" s="510" t="s">
        <v>133</v>
      </c>
      <c r="D57" s="105"/>
      <c r="E57" s="105"/>
      <c r="F57" s="106"/>
      <c r="U57" s="83"/>
      <c r="V57" s="83"/>
    </row>
    <row r="58" spans="1:22" s="76" customFormat="1" ht="12.75" customHeight="1">
      <c r="A58" s="517"/>
      <c r="B58" s="85" t="s">
        <v>131</v>
      </c>
      <c r="C58" s="510" t="s">
        <v>132</v>
      </c>
      <c r="D58" s="105"/>
      <c r="E58" s="105"/>
      <c r="F58" s="106"/>
      <c r="U58" s="83"/>
      <c r="V58" s="83"/>
    </row>
    <row r="59" spans="1:22" s="76" customFormat="1" ht="12.75" customHeight="1">
      <c r="A59" s="517"/>
      <c r="B59" s="85" t="s">
        <v>134</v>
      </c>
      <c r="C59" s="510" t="s">
        <v>135</v>
      </c>
      <c r="D59" s="105"/>
      <c r="E59" s="105"/>
      <c r="F59" s="106"/>
      <c r="U59" s="83"/>
      <c r="V59" s="83"/>
    </row>
    <row r="60" spans="1:22" s="76" customFormat="1" ht="12.75" customHeight="1">
      <c r="A60" s="519"/>
      <c r="B60" s="86" t="s">
        <v>28</v>
      </c>
      <c r="C60" s="511" t="s">
        <v>214</v>
      </c>
      <c r="D60" s="109"/>
      <c r="E60" s="109"/>
      <c r="F60" s="110"/>
      <c r="U60" s="83"/>
      <c r="V60" s="83"/>
    </row>
    <row r="61" spans="1:22" s="76" customFormat="1" ht="12.75" customHeight="1">
      <c r="A61" s="520"/>
      <c r="B61" s="78"/>
      <c r="C61" s="78"/>
      <c r="D61" s="83"/>
      <c r="F61" s="83"/>
      <c r="G61" s="83"/>
      <c r="H61" s="83"/>
      <c r="I61" s="83"/>
      <c r="J61" s="83"/>
      <c r="K61" s="83"/>
      <c r="L61" s="83"/>
      <c r="M61" s="83"/>
      <c r="N61" s="83"/>
      <c r="O61" s="83"/>
      <c r="P61" s="83"/>
      <c r="Q61" s="83"/>
      <c r="R61" s="83"/>
      <c r="S61" s="83"/>
      <c r="T61" s="83"/>
      <c r="U61" s="83"/>
      <c r="V61" s="83"/>
    </row>
    <row r="62" spans="1:22" s="76" customFormat="1">
      <c r="A62" s="540" t="s">
        <v>96</v>
      </c>
      <c r="B62" s="540"/>
      <c r="C62" s="540"/>
      <c r="D62" s="540"/>
      <c r="E62" s="540"/>
      <c r="F62" s="540"/>
      <c r="G62" s="540"/>
      <c r="H62" s="540"/>
      <c r="I62" s="540"/>
      <c r="J62" s="540"/>
      <c r="K62" s="540"/>
      <c r="L62" s="540"/>
      <c r="M62" s="540"/>
      <c r="N62" s="540"/>
      <c r="O62" s="540"/>
      <c r="P62" s="540"/>
      <c r="Q62" s="540"/>
      <c r="R62" s="540"/>
      <c r="S62" s="540"/>
      <c r="T62" s="540"/>
      <c r="U62" s="540"/>
      <c r="V62" s="540"/>
    </row>
    <row r="63" spans="1:22" s="76" customFormat="1">
      <c r="A63" s="539" t="s">
        <v>97</v>
      </c>
      <c r="B63" s="539"/>
      <c r="C63" s="539"/>
      <c r="D63" s="539"/>
      <c r="E63" s="539"/>
      <c r="F63" s="539"/>
      <c r="G63" s="539"/>
      <c r="H63" s="539"/>
      <c r="I63" s="539"/>
      <c r="J63" s="539"/>
      <c r="K63" s="539"/>
      <c r="L63" s="539"/>
      <c r="M63" s="539"/>
      <c r="N63" s="539"/>
      <c r="O63" s="539"/>
      <c r="P63" s="539"/>
      <c r="Q63" s="539"/>
      <c r="R63" s="539"/>
      <c r="S63" s="539"/>
      <c r="T63" s="539"/>
      <c r="U63" s="539"/>
      <c r="V63" s="539"/>
    </row>
    <row r="64" spans="1:22" s="76" customFormat="1" ht="22.5" customHeight="1">
      <c r="A64" s="521" t="s">
        <v>98</v>
      </c>
      <c r="B64" s="177"/>
      <c r="C64" s="512"/>
      <c r="D64" s="177"/>
      <c r="E64" s="177"/>
      <c r="F64" s="177"/>
      <c r="G64" s="177"/>
      <c r="H64" s="177"/>
      <c r="I64" s="177"/>
      <c r="J64" s="177"/>
      <c r="K64" s="177"/>
      <c r="L64" s="177"/>
      <c r="M64" s="177"/>
      <c r="N64" s="177"/>
      <c r="O64" s="177"/>
      <c r="P64" s="177"/>
      <c r="Q64" s="177"/>
      <c r="R64" s="177"/>
      <c r="S64" s="177"/>
      <c r="T64" s="177"/>
      <c r="U64" s="177"/>
      <c r="V64" s="177"/>
    </row>
    <row r="65" spans="1:33" s="76" customFormat="1" ht="50.25" customHeight="1">
      <c r="A65" s="539" t="s">
        <v>238</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22.5" customHeight="1">
      <c r="A66" s="539" t="s">
        <v>226</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35.25" customHeight="1">
      <c r="A67" s="539" t="s">
        <v>227</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65.25" customHeight="1">
      <c r="A68" s="539" t="s">
        <v>228</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132" customHeight="1">
      <c r="A69" s="539" t="s">
        <v>229</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50.25" customHeight="1">
      <c r="A70" s="539" t="s">
        <v>230</v>
      </c>
      <c r="B70" s="539"/>
      <c r="C70" s="539"/>
      <c r="D70" s="539"/>
      <c r="E70" s="539"/>
      <c r="F70" s="539"/>
      <c r="G70" s="539"/>
      <c r="H70" s="539"/>
      <c r="I70" s="539"/>
      <c r="J70" s="539"/>
      <c r="K70" s="539"/>
      <c r="L70" s="539"/>
      <c r="M70" s="539"/>
      <c r="N70" s="539"/>
      <c r="O70" s="539"/>
      <c r="P70" s="539"/>
      <c r="Q70" s="539"/>
      <c r="R70" s="539"/>
      <c r="S70" s="539"/>
      <c r="T70" s="539"/>
      <c r="U70" s="539"/>
      <c r="V70" s="539"/>
      <c r="W70" s="83"/>
      <c r="X70" s="83"/>
      <c r="Y70" s="83"/>
      <c r="Z70" s="83"/>
      <c r="AA70" s="83"/>
      <c r="AB70" s="83"/>
      <c r="AC70" s="83"/>
      <c r="AD70" s="83"/>
      <c r="AE70" s="83"/>
      <c r="AF70" s="83"/>
      <c r="AG70" s="83"/>
    </row>
    <row r="71" spans="1:33" s="76" customFormat="1" ht="25.5" customHeight="1">
      <c r="A71" s="542" t="s">
        <v>99</v>
      </c>
      <c r="B71" s="542"/>
      <c r="C71" s="542"/>
      <c r="D71" s="542"/>
      <c r="E71" s="542"/>
      <c r="F71" s="542"/>
      <c r="G71" s="542"/>
      <c r="H71" s="542"/>
      <c r="I71" s="542"/>
      <c r="J71" s="542"/>
      <c r="K71" s="542"/>
      <c r="L71" s="542"/>
      <c r="M71" s="542"/>
      <c r="N71" s="542"/>
      <c r="O71" s="542"/>
      <c r="P71" s="542"/>
      <c r="Q71" s="542"/>
      <c r="R71" s="542"/>
      <c r="S71" s="542"/>
      <c r="T71" s="542"/>
      <c r="U71" s="542"/>
      <c r="V71" s="542"/>
    </row>
    <row r="72" spans="1:33" s="93" customFormat="1" ht="21.75" customHeight="1">
      <c r="A72" s="543" t="s">
        <v>267</v>
      </c>
      <c r="B72" s="543"/>
      <c r="C72" s="543"/>
      <c r="D72" s="543"/>
      <c r="E72" s="543"/>
      <c r="F72" s="543"/>
      <c r="G72" s="543"/>
      <c r="H72" s="543"/>
      <c r="I72" s="543"/>
      <c r="J72" s="543"/>
      <c r="K72" s="543"/>
      <c r="L72" s="543"/>
      <c r="M72" s="543"/>
      <c r="N72" s="543"/>
      <c r="O72" s="543"/>
      <c r="P72" s="543"/>
      <c r="Q72" s="543"/>
      <c r="R72" s="543"/>
      <c r="S72" s="543"/>
      <c r="T72" s="543"/>
      <c r="U72" s="543"/>
      <c r="V72" s="543"/>
    </row>
    <row r="73" spans="1:33" s="93" customFormat="1" ht="21.75" customHeight="1">
      <c r="A73" s="543" t="s">
        <v>137</v>
      </c>
      <c r="B73" s="543"/>
      <c r="C73" s="543"/>
      <c r="D73" s="543"/>
      <c r="E73" s="543"/>
      <c r="F73" s="543"/>
      <c r="G73" s="543"/>
      <c r="H73" s="543"/>
      <c r="I73" s="543"/>
      <c r="J73" s="543"/>
      <c r="K73" s="543"/>
      <c r="L73" s="543"/>
      <c r="M73" s="543"/>
      <c r="N73" s="543"/>
      <c r="O73" s="543"/>
      <c r="P73" s="543"/>
      <c r="Q73" s="543"/>
      <c r="R73" s="543"/>
      <c r="S73" s="543"/>
      <c r="T73" s="543"/>
      <c r="U73" s="543"/>
      <c r="V73" s="543"/>
    </row>
    <row r="74" spans="1:33" s="93" customFormat="1" ht="30" customHeight="1">
      <c r="A74" s="543" t="s">
        <v>138</v>
      </c>
      <c r="B74" s="543"/>
      <c r="C74" s="543"/>
      <c r="D74" s="543"/>
      <c r="E74" s="543"/>
      <c r="F74" s="543"/>
      <c r="G74" s="543"/>
      <c r="H74" s="543"/>
      <c r="I74" s="543"/>
      <c r="J74" s="543"/>
      <c r="K74" s="543"/>
      <c r="L74" s="543"/>
      <c r="M74" s="543"/>
      <c r="N74" s="543"/>
      <c r="O74" s="543"/>
      <c r="P74" s="543"/>
      <c r="Q74" s="543"/>
      <c r="R74" s="543"/>
      <c r="S74" s="543"/>
      <c r="T74" s="543"/>
      <c r="U74" s="543"/>
      <c r="V74" s="543"/>
    </row>
    <row r="75" spans="1:33" s="93" customFormat="1" ht="30" customHeight="1">
      <c r="A75" s="543" t="s">
        <v>139</v>
      </c>
      <c r="B75" s="543"/>
      <c r="C75" s="543"/>
      <c r="D75" s="543"/>
      <c r="E75" s="543"/>
      <c r="F75" s="543"/>
      <c r="G75" s="543"/>
      <c r="H75" s="543"/>
      <c r="I75" s="543"/>
      <c r="J75" s="543"/>
      <c r="K75" s="543"/>
      <c r="L75" s="543"/>
      <c r="M75" s="543"/>
      <c r="N75" s="543"/>
      <c r="O75" s="543"/>
      <c r="P75" s="543"/>
      <c r="Q75" s="543"/>
      <c r="R75" s="543"/>
      <c r="S75" s="543"/>
      <c r="T75" s="543"/>
      <c r="U75" s="543"/>
      <c r="V75" s="543"/>
    </row>
    <row r="76" spans="1:33" s="93" customFormat="1" ht="21.75" customHeight="1">
      <c r="A76" s="543" t="s">
        <v>158</v>
      </c>
      <c r="B76" s="543"/>
      <c r="C76" s="543"/>
      <c r="D76" s="543"/>
      <c r="E76" s="543"/>
      <c r="F76" s="543"/>
      <c r="G76" s="543"/>
      <c r="H76" s="543"/>
      <c r="I76" s="543"/>
      <c r="J76" s="543"/>
      <c r="K76" s="543"/>
      <c r="L76" s="543"/>
      <c r="M76" s="543"/>
      <c r="N76" s="543"/>
      <c r="O76" s="543"/>
      <c r="P76" s="543"/>
      <c r="Q76" s="543"/>
      <c r="R76" s="543"/>
      <c r="S76" s="543"/>
      <c r="T76" s="543"/>
      <c r="U76" s="543"/>
      <c r="V76" s="543"/>
    </row>
    <row r="77" spans="1:33" s="76" customFormat="1" ht="20.25" customHeight="1">
      <c r="A77" s="540" t="s">
        <v>217</v>
      </c>
      <c r="B77" s="540"/>
      <c r="C77" s="540"/>
      <c r="D77" s="540"/>
      <c r="E77" s="540"/>
      <c r="F77" s="540"/>
      <c r="G77" s="540"/>
      <c r="H77" s="540"/>
      <c r="I77" s="540"/>
      <c r="J77" s="540"/>
      <c r="K77" s="540"/>
      <c r="L77" s="540"/>
      <c r="M77" s="540"/>
      <c r="N77" s="540"/>
      <c r="O77" s="540"/>
      <c r="P77" s="540"/>
      <c r="Q77" s="540"/>
      <c r="R77" s="540"/>
      <c r="S77" s="540"/>
      <c r="T77" s="540"/>
      <c r="U77" s="540"/>
      <c r="V77" s="540"/>
    </row>
    <row r="78" spans="1:33" s="93" customFormat="1" ht="21.75" customHeight="1">
      <c r="A78" s="543" t="s">
        <v>159</v>
      </c>
      <c r="B78" s="543"/>
      <c r="C78" s="543"/>
      <c r="D78" s="543"/>
      <c r="E78" s="543"/>
      <c r="F78" s="543"/>
      <c r="G78" s="543"/>
      <c r="H78" s="543"/>
      <c r="I78" s="543"/>
      <c r="J78" s="543"/>
      <c r="K78" s="543"/>
      <c r="L78" s="543"/>
      <c r="M78" s="543"/>
      <c r="N78" s="543"/>
      <c r="O78" s="543"/>
      <c r="P78" s="543"/>
      <c r="Q78" s="543"/>
      <c r="R78" s="543"/>
      <c r="S78" s="543"/>
      <c r="T78" s="543"/>
      <c r="U78" s="543"/>
      <c r="V78" s="543"/>
    </row>
    <row r="79" spans="1:33" s="93" customFormat="1" ht="46.5" customHeight="1">
      <c r="A79" s="543" t="s">
        <v>141</v>
      </c>
      <c r="B79" s="543"/>
      <c r="C79" s="543"/>
      <c r="D79" s="543"/>
      <c r="E79" s="543"/>
      <c r="F79" s="543"/>
      <c r="G79" s="543"/>
      <c r="H79" s="543"/>
      <c r="I79" s="543"/>
      <c r="J79" s="543"/>
      <c r="K79" s="543"/>
      <c r="L79" s="543"/>
      <c r="M79" s="543"/>
      <c r="N79" s="543"/>
      <c r="O79" s="543"/>
      <c r="P79" s="543"/>
      <c r="Q79" s="543"/>
      <c r="R79" s="543"/>
      <c r="S79" s="543"/>
      <c r="T79" s="543"/>
      <c r="U79" s="543"/>
      <c r="V79" s="543"/>
    </row>
    <row r="80" spans="1:33" s="93" customFormat="1" ht="59.25" customHeight="1">
      <c r="A80" s="543" t="s">
        <v>160</v>
      </c>
      <c r="B80" s="543"/>
      <c r="C80" s="543"/>
      <c r="D80" s="543"/>
      <c r="E80" s="543"/>
      <c r="F80" s="543"/>
      <c r="G80" s="543"/>
      <c r="H80" s="543"/>
      <c r="I80" s="543"/>
      <c r="J80" s="543"/>
      <c r="K80" s="543"/>
      <c r="L80" s="543"/>
      <c r="M80" s="543"/>
      <c r="N80" s="543"/>
      <c r="O80" s="543"/>
      <c r="P80" s="543"/>
      <c r="Q80" s="543"/>
      <c r="R80" s="543"/>
      <c r="S80" s="543"/>
      <c r="T80" s="543"/>
      <c r="U80" s="543"/>
      <c r="V80" s="543"/>
    </row>
    <row r="81" spans="1:22" s="93" customFormat="1" ht="21.75" customHeight="1">
      <c r="A81" s="543" t="s">
        <v>161</v>
      </c>
      <c r="B81" s="543"/>
      <c r="C81" s="543"/>
      <c r="D81" s="543"/>
      <c r="E81" s="543"/>
      <c r="F81" s="543"/>
      <c r="G81" s="543"/>
      <c r="H81" s="543"/>
      <c r="I81" s="543"/>
      <c r="J81" s="543"/>
      <c r="K81" s="543"/>
      <c r="L81" s="543"/>
      <c r="M81" s="543"/>
      <c r="N81" s="543"/>
      <c r="O81" s="543"/>
      <c r="P81" s="543"/>
      <c r="Q81" s="543"/>
      <c r="R81" s="543"/>
      <c r="S81" s="543"/>
      <c r="T81" s="543"/>
      <c r="U81" s="543"/>
      <c r="V81" s="543"/>
    </row>
    <row r="82" spans="1:22" s="93" customFormat="1" ht="44.25" customHeight="1">
      <c r="A82" s="543" t="s">
        <v>162</v>
      </c>
      <c r="B82" s="543"/>
      <c r="C82" s="543"/>
      <c r="D82" s="543"/>
      <c r="E82" s="543"/>
      <c r="F82" s="543"/>
      <c r="G82" s="543"/>
      <c r="H82" s="543"/>
      <c r="I82" s="543"/>
      <c r="J82" s="543"/>
      <c r="K82" s="543"/>
      <c r="L82" s="543"/>
      <c r="M82" s="543"/>
      <c r="N82" s="543"/>
      <c r="O82" s="543"/>
      <c r="P82" s="543"/>
      <c r="Q82" s="543"/>
      <c r="R82" s="543"/>
      <c r="S82" s="543"/>
      <c r="T82" s="543"/>
      <c r="U82" s="543"/>
      <c r="V82" s="543"/>
    </row>
    <row r="83" spans="1:22" s="93" customFormat="1" ht="21.75" customHeight="1">
      <c r="A83" s="543" t="s">
        <v>145</v>
      </c>
      <c r="B83" s="543"/>
      <c r="C83" s="543"/>
      <c r="D83" s="543"/>
      <c r="E83" s="543"/>
      <c r="F83" s="543"/>
      <c r="G83" s="543"/>
      <c r="H83" s="543"/>
      <c r="I83" s="543"/>
      <c r="J83" s="543"/>
      <c r="K83" s="543"/>
      <c r="L83" s="543"/>
      <c r="M83" s="543"/>
      <c r="N83" s="543"/>
      <c r="O83" s="543"/>
      <c r="P83" s="543"/>
      <c r="Q83" s="543"/>
      <c r="R83" s="543"/>
      <c r="S83" s="543"/>
      <c r="T83" s="543"/>
      <c r="U83" s="543"/>
      <c r="V83" s="543"/>
    </row>
    <row r="84" spans="1:22" s="93" customFormat="1" ht="21.75" customHeight="1">
      <c r="A84" s="543" t="s">
        <v>163</v>
      </c>
      <c r="B84" s="543"/>
      <c r="C84" s="543"/>
      <c r="D84" s="543"/>
      <c r="E84" s="543"/>
      <c r="F84" s="543"/>
      <c r="G84" s="543"/>
      <c r="H84" s="543"/>
      <c r="I84" s="543"/>
      <c r="J84" s="543"/>
      <c r="K84" s="543"/>
      <c r="L84" s="543"/>
      <c r="M84" s="543"/>
      <c r="N84" s="543"/>
      <c r="O84" s="543"/>
      <c r="P84" s="543"/>
      <c r="Q84" s="543"/>
      <c r="R84" s="543"/>
      <c r="S84" s="543"/>
      <c r="T84" s="543"/>
      <c r="U84" s="543"/>
      <c r="V84" s="543"/>
    </row>
    <row r="85" spans="1:22" s="93" customFormat="1" ht="21.75" customHeight="1">
      <c r="A85" s="543" t="s">
        <v>222</v>
      </c>
      <c r="B85" s="543"/>
      <c r="C85" s="543"/>
      <c r="D85" s="543"/>
      <c r="E85" s="543"/>
      <c r="F85" s="543"/>
      <c r="G85" s="543"/>
      <c r="H85" s="543"/>
      <c r="I85" s="543"/>
      <c r="J85" s="543"/>
      <c r="K85" s="543"/>
      <c r="L85" s="543"/>
      <c r="M85" s="543"/>
      <c r="N85" s="543"/>
      <c r="O85" s="543"/>
      <c r="P85" s="543"/>
      <c r="Q85" s="543"/>
      <c r="R85" s="543"/>
      <c r="S85" s="543"/>
      <c r="T85" s="543"/>
      <c r="U85" s="543"/>
      <c r="V85" s="543"/>
    </row>
    <row r="86" spans="1:22" s="93" customFormat="1" ht="21.75" customHeight="1">
      <c r="A86" s="543" t="s">
        <v>147</v>
      </c>
      <c r="B86" s="543"/>
      <c r="C86" s="543"/>
      <c r="D86" s="543"/>
      <c r="E86" s="543"/>
      <c r="F86" s="543"/>
      <c r="G86" s="543"/>
      <c r="H86" s="543"/>
      <c r="I86" s="543"/>
      <c r="J86" s="543"/>
      <c r="K86" s="543"/>
      <c r="L86" s="543"/>
      <c r="M86" s="543"/>
      <c r="N86" s="543"/>
      <c r="O86" s="543"/>
      <c r="P86" s="543"/>
      <c r="Q86" s="543"/>
      <c r="R86" s="543"/>
      <c r="S86" s="543"/>
      <c r="T86" s="543"/>
      <c r="U86" s="543"/>
      <c r="V86" s="543"/>
    </row>
    <row r="87" spans="1:22" s="93" customFormat="1" ht="21.75" customHeight="1">
      <c r="A87" s="543" t="s">
        <v>100</v>
      </c>
      <c r="B87" s="543"/>
      <c r="C87" s="543"/>
      <c r="D87" s="543"/>
      <c r="E87" s="543"/>
      <c r="F87" s="543"/>
      <c r="G87" s="543"/>
      <c r="H87" s="543"/>
      <c r="I87" s="543"/>
      <c r="J87" s="543"/>
      <c r="K87" s="543"/>
      <c r="L87" s="543"/>
      <c r="M87" s="543"/>
      <c r="N87" s="543"/>
      <c r="O87" s="543"/>
      <c r="P87" s="543"/>
      <c r="Q87" s="543"/>
      <c r="R87" s="543"/>
      <c r="S87" s="543"/>
      <c r="T87" s="543"/>
      <c r="U87" s="543"/>
      <c r="V87" s="543"/>
    </row>
    <row r="88" spans="1:22" s="93" customFormat="1" ht="38.25" customHeight="1">
      <c r="A88" s="544" t="s">
        <v>148</v>
      </c>
      <c r="B88" s="544"/>
      <c r="C88" s="544"/>
      <c r="D88" s="544"/>
      <c r="E88" s="544"/>
      <c r="F88" s="544"/>
      <c r="G88" s="544"/>
      <c r="H88" s="544"/>
      <c r="I88" s="544"/>
      <c r="J88" s="544"/>
      <c r="K88" s="544"/>
      <c r="L88" s="544"/>
      <c r="M88" s="544"/>
      <c r="N88" s="544"/>
      <c r="O88" s="544"/>
      <c r="P88" s="544"/>
      <c r="Q88" s="544"/>
      <c r="R88" s="544"/>
      <c r="S88" s="544"/>
      <c r="T88" s="544"/>
      <c r="U88" s="544"/>
      <c r="V88" s="544"/>
    </row>
    <row r="89" spans="1:22" s="93" customFormat="1" ht="21.75" customHeight="1">
      <c r="A89" s="543" t="s">
        <v>149</v>
      </c>
      <c r="B89" s="543"/>
      <c r="C89" s="543"/>
      <c r="D89" s="543"/>
      <c r="E89" s="543"/>
      <c r="F89" s="543"/>
      <c r="G89" s="543"/>
      <c r="H89" s="543"/>
      <c r="I89" s="543"/>
      <c r="J89" s="543"/>
      <c r="K89" s="543"/>
      <c r="L89" s="543"/>
      <c r="M89" s="543"/>
      <c r="N89" s="543"/>
      <c r="O89" s="543"/>
      <c r="P89" s="543"/>
      <c r="Q89" s="543"/>
      <c r="R89" s="543"/>
      <c r="S89" s="543"/>
      <c r="T89" s="543"/>
      <c r="U89" s="543"/>
      <c r="V89" s="543"/>
    </row>
    <row r="90" spans="1:22" s="93" customFormat="1" ht="69" customHeight="1">
      <c r="A90" s="544" t="s">
        <v>101</v>
      </c>
      <c r="B90" s="544"/>
      <c r="C90" s="544"/>
      <c r="D90" s="544"/>
      <c r="E90" s="544"/>
      <c r="F90" s="544"/>
      <c r="G90" s="544"/>
      <c r="H90" s="544"/>
      <c r="I90" s="544"/>
      <c r="J90" s="544"/>
      <c r="K90" s="544"/>
      <c r="L90" s="544"/>
      <c r="M90" s="544"/>
      <c r="N90" s="544"/>
      <c r="O90" s="544"/>
      <c r="P90" s="544"/>
      <c r="Q90" s="544"/>
      <c r="R90" s="544"/>
      <c r="S90" s="544"/>
      <c r="T90" s="544"/>
      <c r="U90" s="544"/>
      <c r="V90" s="544"/>
    </row>
  </sheetData>
  <mergeCells count="37">
    <mergeCell ref="A48:V48"/>
    <mergeCell ref="A49:V49"/>
    <mergeCell ref="A50:V50"/>
    <mergeCell ref="A51:V51"/>
    <mergeCell ref="A71:V71"/>
    <mergeCell ref="A72:V72"/>
    <mergeCell ref="A62:V62"/>
    <mergeCell ref="A63:V63"/>
    <mergeCell ref="A65:V65"/>
    <mergeCell ref="A66:V66"/>
    <mergeCell ref="A67:V67"/>
    <mergeCell ref="A68:V68"/>
    <mergeCell ref="A69:V69"/>
    <mergeCell ref="A70:V70"/>
    <mergeCell ref="A73:V73"/>
    <mergeCell ref="A74:V74"/>
    <mergeCell ref="A75:V75"/>
    <mergeCell ref="A76:V76"/>
    <mergeCell ref="A78:V78"/>
    <mergeCell ref="A77:V77"/>
    <mergeCell ref="A79:V79"/>
    <mergeCell ref="A80:V80"/>
    <mergeCell ref="A81:V81"/>
    <mergeCell ref="A82:V82"/>
    <mergeCell ref="A83:V83"/>
    <mergeCell ref="A84:V84"/>
    <mergeCell ref="A89:V89"/>
    <mergeCell ref="A90:V90"/>
    <mergeCell ref="A85:V85"/>
    <mergeCell ref="A86:V86"/>
    <mergeCell ref="A87:V87"/>
    <mergeCell ref="A88:V88"/>
    <mergeCell ref="F3:G3"/>
    <mergeCell ref="I3:J3"/>
    <mergeCell ref="L3:M3"/>
    <mergeCell ref="O3:P3"/>
    <mergeCell ref="R3:S3"/>
  </mergeCells>
  <phoneticPr fontId="5" type="noConversion"/>
  <pageMargins left="0.19685039370078741" right="0.19685039370078741" top="0.19685039370078741" bottom="0.19685039370078741" header="0.19685039370078741" footer="0.19685039370078741"/>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G88"/>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31" customWidth="1"/>
    <col min="5" max="5" width="8.7109375" style="2" customWidth="1"/>
    <col min="6" max="7" width="12.7109375" style="2" customWidth="1"/>
    <col min="8" max="8" width="8.7109375" style="2" customWidth="1"/>
    <col min="9" max="10" width="12.7109375" style="2" customWidth="1"/>
    <col min="11" max="11" width="8.7109375" style="2" customWidth="1"/>
    <col min="12" max="13" width="12.7109375" style="2" customWidth="1"/>
    <col min="14" max="14" width="8.7109375" style="2" customWidth="1"/>
    <col min="15" max="16" width="12.7109375" style="2" customWidth="1"/>
    <col min="17" max="17" width="8.7109375" style="2" customWidth="1"/>
    <col min="18" max="19" width="12.7109375" style="2" customWidth="1"/>
    <col min="20" max="20" width="12.7109375" style="11" customWidth="1"/>
    <col min="21" max="21" width="7.140625" style="2" bestFit="1" customWidth="1"/>
    <col min="22" max="22" width="15.42578125" style="13" customWidth="1"/>
    <col min="23" max="23" width="12.7109375" style="4" hidden="1" customWidth="1"/>
    <col min="24" max="29" width="12.7109375" style="4" customWidth="1"/>
    <col min="30" max="16384" width="9.140625" style="4"/>
  </cols>
  <sheetData>
    <row r="1" spans="1:24" s="43" customFormat="1" ht="30" customHeight="1">
      <c r="A1" s="514" t="s">
        <v>21</v>
      </c>
      <c r="B1" s="102"/>
      <c r="C1" s="508"/>
      <c r="D1" s="50"/>
      <c r="E1" s="45"/>
      <c r="F1" s="45"/>
      <c r="G1" s="45"/>
      <c r="H1" s="45"/>
      <c r="I1" s="45"/>
      <c r="J1" s="45"/>
      <c r="K1" s="45"/>
      <c r="L1" s="45"/>
      <c r="M1" s="45"/>
      <c r="N1" s="45"/>
      <c r="O1" s="45"/>
      <c r="P1" s="45"/>
      <c r="Q1" s="45"/>
      <c r="R1" s="45"/>
      <c r="S1" s="45"/>
      <c r="T1" s="49"/>
      <c r="U1" s="45"/>
      <c r="V1" s="51"/>
    </row>
    <row r="2" spans="1:24" s="43" customFormat="1" ht="30" customHeight="1">
      <c r="A2" s="514" t="s">
        <v>103</v>
      </c>
      <c r="B2" s="102"/>
      <c r="C2" s="508"/>
      <c r="D2" s="50"/>
      <c r="E2" s="45"/>
      <c r="F2" s="45"/>
      <c r="G2" s="45"/>
      <c r="H2" s="45"/>
      <c r="I2" s="45"/>
      <c r="J2" s="45"/>
      <c r="K2" s="45"/>
      <c r="L2" s="45"/>
      <c r="M2" s="45"/>
      <c r="N2" s="45"/>
      <c r="O2" s="45"/>
      <c r="P2" s="45"/>
      <c r="Q2" s="45"/>
      <c r="R2" s="45"/>
      <c r="S2" s="45"/>
      <c r="T2" s="49"/>
      <c r="U2" s="45"/>
      <c r="V2" s="51"/>
    </row>
    <row r="3" spans="1:24" s="43" customFormat="1" ht="30" customHeight="1">
      <c r="A3" s="514"/>
      <c r="B3" s="102"/>
      <c r="C3" s="508"/>
      <c r="D3" s="50"/>
      <c r="E3" s="45"/>
      <c r="F3" s="546" t="s">
        <v>248</v>
      </c>
      <c r="G3" s="547"/>
      <c r="H3" s="45"/>
      <c r="I3" s="546" t="s">
        <v>248</v>
      </c>
      <c r="J3" s="547"/>
      <c r="K3" s="45"/>
      <c r="L3" s="546" t="s">
        <v>248</v>
      </c>
      <c r="M3" s="547"/>
      <c r="N3" s="45"/>
      <c r="O3" s="546" t="s">
        <v>248</v>
      </c>
      <c r="P3" s="547"/>
      <c r="Q3" s="45"/>
      <c r="R3" s="546" t="s">
        <v>248</v>
      </c>
      <c r="S3" s="547"/>
      <c r="T3" s="49"/>
      <c r="U3" s="45"/>
      <c r="V3" s="51"/>
    </row>
    <row r="4" spans="1:24"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4" s="2" customFormat="1" ht="15" customHeight="1">
      <c r="A5" s="244" t="s">
        <v>33</v>
      </c>
      <c r="B5" s="381">
        <v>0</v>
      </c>
      <c r="C5" s="270" t="s">
        <v>250</v>
      </c>
      <c r="D5" s="384" t="s">
        <v>5</v>
      </c>
      <c r="E5" s="363" t="s">
        <v>5</v>
      </c>
      <c r="F5" s="401" t="s">
        <v>5</v>
      </c>
      <c r="G5" s="391" t="s">
        <v>5</v>
      </c>
      <c r="H5" s="365"/>
      <c r="I5" s="401"/>
      <c r="J5" s="391"/>
      <c r="K5" s="365"/>
      <c r="L5" s="401"/>
      <c r="M5" s="391"/>
      <c r="N5" s="365"/>
      <c r="O5" s="401"/>
      <c r="P5" s="391"/>
      <c r="Q5" s="365"/>
      <c r="R5" s="401"/>
      <c r="S5" s="391"/>
      <c r="T5" s="206" t="s">
        <v>5</v>
      </c>
      <c r="U5" s="270" t="s">
        <v>5</v>
      </c>
      <c r="V5" s="370" t="s">
        <v>5</v>
      </c>
      <c r="W5" s="2" t="str">
        <f>IF(U5="TY","A",IF(U5="TY/TYs","AB",IF(U5="TYs", "B",IF(U5="TC","C",IF(U5="-","",)))))</f>
        <v/>
      </c>
    </row>
    <row r="6" spans="1:24" s="2" customFormat="1" ht="15" customHeight="1">
      <c r="A6" s="339" t="s">
        <v>50</v>
      </c>
      <c r="B6" s="266">
        <v>1</v>
      </c>
      <c r="C6" s="28" t="s">
        <v>7</v>
      </c>
      <c r="D6" s="302" t="s">
        <v>5</v>
      </c>
      <c r="E6" s="127">
        <f>3.95+3+10.25+(0.5+0.5)*6/7</f>
        <v>18.057142857142857</v>
      </c>
      <c r="F6" s="447" t="str">
        <f>"["&amp;296.21*14&amp;"]"</f>
        <v>[4146.94]</v>
      </c>
      <c r="G6" s="146">
        <f>3226.7*14</f>
        <v>45173.799999999996</v>
      </c>
      <c r="H6" s="175" t="s">
        <v>5</v>
      </c>
      <c r="I6" s="400" t="s">
        <v>5</v>
      </c>
      <c r="J6" s="396" t="s">
        <v>5</v>
      </c>
      <c r="K6" s="175" t="s">
        <v>5</v>
      </c>
      <c r="L6" s="400" t="s">
        <v>5</v>
      </c>
      <c r="M6" s="396" t="s">
        <v>5</v>
      </c>
      <c r="N6" s="175" t="s">
        <v>5</v>
      </c>
      <c r="O6" s="400" t="s">
        <v>5</v>
      </c>
      <c r="P6" s="396" t="s">
        <v>5</v>
      </c>
      <c r="Q6" s="175" t="s">
        <v>5</v>
      </c>
      <c r="R6" s="400" t="s">
        <v>5</v>
      </c>
      <c r="S6" s="396" t="s">
        <v>5</v>
      </c>
      <c r="T6" s="192">
        <f>G6*E6/100</f>
        <v>8157.0975999999991</v>
      </c>
      <c r="U6" s="19" t="s">
        <v>6</v>
      </c>
      <c r="V6" s="371">
        <v>100</v>
      </c>
      <c r="W6" s="2" t="str">
        <f t="shared" ref="W6:W46" si="0">IF(U6="TY","A",IF(U6="TY/TYs","AB",IF(U6="TYs", "B",IF(U6="TC","C",IF(U6="-","",)))))</f>
        <v>A</v>
      </c>
      <c r="X6" s="6"/>
    </row>
    <row r="7" spans="1:24" s="2" customFormat="1" ht="15" customHeight="1">
      <c r="A7" s="339" t="s">
        <v>26</v>
      </c>
      <c r="B7" s="266">
        <v>1</v>
      </c>
      <c r="C7" s="19" t="s">
        <v>7</v>
      </c>
      <c r="D7" s="302" t="s">
        <v>5</v>
      </c>
      <c r="E7" s="127">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2" t="str">
        <f t="shared" si="0"/>
        <v>A</v>
      </c>
    </row>
    <row r="8" spans="1:24" s="2" customFormat="1" ht="15" customHeight="1">
      <c r="A8" s="235" t="s">
        <v>49</v>
      </c>
      <c r="B8" s="267">
        <v>1</v>
      </c>
      <c r="C8" s="19" t="s">
        <v>8</v>
      </c>
      <c r="D8" s="303" t="s">
        <v>5</v>
      </c>
      <c r="E8" s="127">
        <f>0.0225*100</f>
        <v>2.25</v>
      </c>
      <c r="F8" s="145">
        <v>0</v>
      </c>
      <c r="G8" s="146">
        <v>3500</v>
      </c>
      <c r="H8" s="127">
        <f>E8+(0.043*100)</f>
        <v>6.55</v>
      </c>
      <c r="I8" s="145">
        <f>G8</f>
        <v>3500</v>
      </c>
      <c r="J8" s="146">
        <f>877.5/0.0225</f>
        <v>39000</v>
      </c>
      <c r="K8" s="127">
        <f>0.043*100</f>
        <v>4.3</v>
      </c>
      <c r="L8" s="145">
        <f>J8</f>
        <v>39000</v>
      </c>
      <c r="M8" s="146">
        <f>(1496.4/0.043)+6500</f>
        <v>41300.000000000007</v>
      </c>
      <c r="N8" s="175" t="s">
        <v>5</v>
      </c>
      <c r="O8" s="400" t="s">
        <v>5</v>
      </c>
      <c r="P8" s="396" t="s">
        <v>5</v>
      </c>
      <c r="Q8" s="175" t="s">
        <v>5</v>
      </c>
      <c r="R8" s="400" t="s">
        <v>5</v>
      </c>
      <c r="S8" s="396" t="s">
        <v>5</v>
      </c>
      <c r="T8" s="192">
        <f>(G8-F8)*E8/100 + (J8-I8)*H8/100 + (M8-L8)*K8/100</f>
        <v>2502.9</v>
      </c>
      <c r="U8" s="67" t="s">
        <v>5</v>
      </c>
      <c r="V8" s="372" t="s">
        <v>5</v>
      </c>
      <c r="W8" s="2" t="str">
        <f t="shared" si="0"/>
        <v/>
      </c>
    </row>
    <row r="9" spans="1:24" ht="15" customHeight="1">
      <c r="A9" s="235" t="s">
        <v>66</v>
      </c>
      <c r="B9" s="267">
        <v>1</v>
      </c>
      <c r="C9" s="19" t="s">
        <v>7</v>
      </c>
      <c r="D9" s="303" t="s">
        <v>5</v>
      </c>
      <c r="E9" s="127">
        <f>0.07*100</f>
        <v>7.0000000000000009</v>
      </c>
      <c r="F9" s="145">
        <v>0</v>
      </c>
      <c r="G9" s="146">
        <f>11709115.2/12</f>
        <v>975759.6</v>
      </c>
      <c r="H9" s="175" t="s">
        <v>5</v>
      </c>
      <c r="I9" s="400" t="s">
        <v>5</v>
      </c>
      <c r="J9" s="396" t="s">
        <v>5</v>
      </c>
      <c r="K9" s="175" t="s">
        <v>5</v>
      </c>
      <c r="L9" s="400" t="s">
        <v>5</v>
      </c>
      <c r="M9" s="396" t="s">
        <v>5</v>
      </c>
      <c r="N9" s="175" t="s">
        <v>5</v>
      </c>
      <c r="O9" s="400" t="s">
        <v>5</v>
      </c>
      <c r="P9" s="396" t="s">
        <v>5</v>
      </c>
      <c r="Q9" s="175" t="s">
        <v>5</v>
      </c>
      <c r="R9" s="400" t="s">
        <v>5</v>
      </c>
      <c r="S9" s="396" t="s">
        <v>5</v>
      </c>
      <c r="T9" s="192">
        <f>E9/100*G9</f>
        <v>68303.172000000006</v>
      </c>
      <c r="U9" s="19" t="s">
        <v>5</v>
      </c>
      <c r="V9" s="371" t="s">
        <v>5</v>
      </c>
      <c r="W9" s="2" t="str">
        <f t="shared" si="0"/>
        <v/>
      </c>
    </row>
    <row r="10" spans="1:24" ht="15" customHeight="1">
      <c r="A10" s="235" t="s">
        <v>22</v>
      </c>
      <c r="B10" s="267">
        <v>1</v>
      </c>
      <c r="C10" s="28" t="s">
        <v>7</v>
      </c>
      <c r="D10" s="304" t="s">
        <v>5</v>
      </c>
      <c r="E10" s="127">
        <v>12.5</v>
      </c>
      <c r="F10" s="319" t="s">
        <v>5</v>
      </c>
      <c r="G10" s="320" t="s">
        <v>5</v>
      </c>
      <c r="H10" s="163" t="s">
        <v>5</v>
      </c>
      <c r="I10" s="395" t="s">
        <v>5</v>
      </c>
      <c r="J10" s="472" t="s">
        <v>5</v>
      </c>
      <c r="K10" s="163" t="s">
        <v>5</v>
      </c>
      <c r="L10" s="395" t="s">
        <v>5</v>
      </c>
      <c r="M10" s="472" t="s">
        <v>5</v>
      </c>
      <c r="N10" s="163" t="s">
        <v>5</v>
      </c>
      <c r="O10" s="395" t="s">
        <v>5</v>
      </c>
      <c r="P10" s="472" t="s">
        <v>5</v>
      </c>
      <c r="Q10" s="163" t="s">
        <v>5</v>
      </c>
      <c r="R10" s="395" t="s">
        <v>5</v>
      </c>
      <c r="S10" s="472" t="s">
        <v>5</v>
      </c>
      <c r="T10" s="193" t="s">
        <v>5</v>
      </c>
      <c r="U10" s="28" t="s">
        <v>6</v>
      </c>
      <c r="V10" s="373">
        <v>100</v>
      </c>
      <c r="W10" s="2" t="str">
        <f t="shared" si="0"/>
        <v>A</v>
      </c>
    </row>
    <row r="11" spans="1:24" s="2" customFormat="1" ht="15" customHeight="1">
      <c r="A11" s="235" t="s">
        <v>67</v>
      </c>
      <c r="B11" s="267">
        <v>1</v>
      </c>
      <c r="C11" s="19" t="s">
        <v>8</v>
      </c>
      <c r="D11" s="385">
        <v>894</v>
      </c>
      <c r="E11" s="127" t="s">
        <v>5</v>
      </c>
      <c r="F11" s="392" t="s">
        <v>5</v>
      </c>
      <c r="G11" s="393" t="s">
        <v>5</v>
      </c>
      <c r="H11" s="175" t="s">
        <v>5</v>
      </c>
      <c r="I11" s="400" t="s">
        <v>5</v>
      </c>
      <c r="J11" s="396" t="s">
        <v>5</v>
      </c>
      <c r="K11" s="175" t="s">
        <v>5</v>
      </c>
      <c r="L11" s="400" t="s">
        <v>5</v>
      </c>
      <c r="M11" s="396" t="s">
        <v>5</v>
      </c>
      <c r="N11" s="175" t="s">
        <v>5</v>
      </c>
      <c r="O11" s="400" t="s">
        <v>5</v>
      </c>
      <c r="P11" s="396" t="s">
        <v>5</v>
      </c>
      <c r="Q11" s="175" t="s">
        <v>5</v>
      </c>
      <c r="R11" s="400" t="s">
        <v>5</v>
      </c>
      <c r="S11" s="396" t="s">
        <v>5</v>
      </c>
      <c r="T11" s="203" t="s">
        <v>5</v>
      </c>
      <c r="U11" s="19" t="s">
        <v>6</v>
      </c>
      <c r="V11" s="371">
        <v>100</v>
      </c>
      <c r="W11" s="2" t="str">
        <f t="shared" si="0"/>
        <v>A</v>
      </c>
    </row>
    <row r="12" spans="1:24" ht="15" customHeight="1">
      <c r="A12" s="235" t="s">
        <v>76</v>
      </c>
      <c r="B12" s="267">
        <v>1</v>
      </c>
      <c r="C12" s="270" t="s">
        <v>250</v>
      </c>
      <c r="D12" s="302" t="s">
        <v>5</v>
      </c>
      <c r="E12" s="127" t="s">
        <v>5</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443" t="s">
        <v>5</v>
      </c>
      <c r="V12" s="343" t="s">
        <v>5</v>
      </c>
      <c r="W12" s="2" t="str">
        <f t="shared" si="0"/>
        <v/>
      </c>
    </row>
    <row r="13" spans="1:24" s="2" customFormat="1" ht="15" customHeight="1">
      <c r="A13" s="235" t="s">
        <v>9</v>
      </c>
      <c r="B13" s="267">
        <v>1</v>
      </c>
      <c r="C13" s="19" t="s">
        <v>10</v>
      </c>
      <c r="D13" s="302" t="s">
        <v>5</v>
      </c>
      <c r="E13" s="127">
        <f>0.015*100</f>
        <v>1.5</v>
      </c>
      <c r="F13" s="392" t="s">
        <v>5</v>
      </c>
      <c r="G13" s="393" t="s">
        <v>5</v>
      </c>
      <c r="H13" s="175" t="s">
        <v>5</v>
      </c>
      <c r="I13" s="400" t="s">
        <v>5</v>
      </c>
      <c r="J13" s="396" t="s">
        <v>5</v>
      </c>
      <c r="K13" s="175" t="s">
        <v>5</v>
      </c>
      <c r="L13" s="400" t="s">
        <v>5</v>
      </c>
      <c r="M13" s="396" t="s">
        <v>5</v>
      </c>
      <c r="N13" s="175" t="s">
        <v>5</v>
      </c>
      <c r="O13" s="400" t="s">
        <v>5</v>
      </c>
      <c r="P13" s="396" t="s">
        <v>5</v>
      </c>
      <c r="Q13" s="175" t="s">
        <v>5</v>
      </c>
      <c r="R13" s="400" t="s">
        <v>5</v>
      </c>
      <c r="S13" s="396" t="s">
        <v>5</v>
      </c>
      <c r="T13" s="203" t="s">
        <v>5</v>
      </c>
      <c r="U13" s="19" t="s">
        <v>5</v>
      </c>
      <c r="V13" s="340" t="s">
        <v>5</v>
      </c>
      <c r="W13" s="2" t="str">
        <f t="shared" si="0"/>
        <v/>
      </c>
    </row>
    <row r="14" spans="1:24" s="2" customFormat="1" ht="15" customHeight="1">
      <c r="A14" s="235" t="s">
        <v>9</v>
      </c>
      <c r="B14" s="267">
        <v>2</v>
      </c>
      <c r="C14" s="19" t="s">
        <v>8</v>
      </c>
      <c r="D14" s="302" t="s">
        <v>5</v>
      </c>
      <c r="E14" s="127">
        <f>0.052*100</f>
        <v>5.2</v>
      </c>
      <c r="F14" s="392" t="s">
        <v>5</v>
      </c>
      <c r="G14" s="393" t="s">
        <v>5</v>
      </c>
      <c r="H14" s="175" t="s">
        <v>5</v>
      </c>
      <c r="I14" s="400" t="s">
        <v>5</v>
      </c>
      <c r="J14" s="396" t="s">
        <v>5</v>
      </c>
      <c r="K14" s="175" t="s">
        <v>5</v>
      </c>
      <c r="L14" s="400" t="s">
        <v>5</v>
      </c>
      <c r="M14" s="396" t="s">
        <v>5</v>
      </c>
      <c r="N14" s="175" t="s">
        <v>5</v>
      </c>
      <c r="O14" s="400" t="s">
        <v>5</v>
      </c>
      <c r="P14" s="396" t="s">
        <v>5</v>
      </c>
      <c r="Q14" s="175" t="s">
        <v>5</v>
      </c>
      <c r="R14" s="400" t="s">
        <v>5</v>
      </c>
      <c r="S14" s="396" t="s">
        <v>5</v>
      </c>
      <c r="T14" s="203" t="s">
        <v>5</v>
      </c>
      <c r="U14" s="19" t="s">
        <v>6</v>
      </c>
      <c r="V14" s="340">
        <v>100</v>
      </c>
      <c r="W14" s="2" t="str">
        <f t="shared" si="0"/>
        <v>A</v>
      </c>
    </row>
    <row r="15" spans="1:24" s="2" customFormat="1" ht="15" customHeight="1">
      <c r="A15" s="235" t="s">
        <v>52</v>
      </c>
      <c r="B15" s="267">
        <v>1</v>
      </c>
      <c r="C15" s="19" t="s">
        <v>8</v>
      </c>
      <c r="D15" s="303" t="s">
        <v>5</v>
      </c>
      <c r="E15" s="127">
        <f>(0.0655+0.0075+0.023+0.036+0.001)*100</f>
        <v>13.3</v>
      </c>
      <c r="F15" s="145">
        <v>0</v>
      </c>
      <c r="G15" s="146">
        <v>27349</v>
      </c>
      <c r="H15" s="127">
        <f>(0.0075+0.0257+0.05675+0.001)*100</f>
        <v>9.0950000000000006</v>
      </c>
      <c r="I15" s="145">
        <f>G15</f>
        <v>27349</v>
      </c>
      <c r="J15" s="146">
        <f>G15*3</f>
        <v>82047</v>
      </c>
      <c r="K15" s="127">
        <f>(0.0075+0.0257+0.001)*100</f>
        <v>3.42</v>
      </c>
      <c r="L15" s="145">
        <f>J15</f>
        <v>82047</v>
      </c>
      <c r="M15" s="146">
        <f>G15*4</f>
        <v>109396</v>
      </c>
      <c r="N15" s="127">
        <f>(0.0075+0.001)*100</f>
        <v>0.85000000000000009</v>
      </c>
      <c r="O15" s="145">
        <f>M15</f>
        <v>109396</v>
      </c>
      <c r="P15" s="396" t="s">
        <v>5</v>
      </c>
      <c r="Q15" s="175" t="s">
        <v>5</v>
      </c>
      <c r="R15" s="400" t="s">
        <v>5</v>
      </c>
      <c r="S15" s="396" t="s">
        <v>5</v>
      </c>
      <c r="T15" s="188" t="s">
        <v>5</v>
      </c>
      <c r="U15" s="19" t="s">
        <v>6</v>
      </c>
      <c r="V15" s="371">
        <f>E15*100/E15</f>
        <v>100</v>
      </c>
      <c r="W15" s="2" t="str">
        <f t="shared" si="0"/>
        <v>A</v>
      </c>
    </row>
    <row r="16" spans="1:24" s="2" customFormat="1" ht="15" customHeight="1">
      <c r="A16" s="272" t="s">
        <v>54</v>
      </c>
      <c r="B16" s="405">
        <v>1</v>
      </c>
      <c r="C16" s="19" t="s">
        <v>8</v>
      </c>
      <c r="D16" s="303" t="s">
        <v>5</v>
      </c>
      <c r="E16" s="127">
        <f>(0.0965+0.069+0.0325+0.0085)*100</f>
        <v>20.650000000000002</v>
      </c>
      <c r="F16" s="145">
        <v>0</v>
      </c>
      <c r="G16" s="146">
        <v>40034.199999999997</v>
      </c>
      <c r="H16" s="127">
        <f>(0.0965+0.0325)*100</f>
        <v>12.9</v>
      </c>
      <c r="I16" s="145">
        <f>G16</f>
        <v>40034.199999999997</v>
      </c>
      <c r="J16" s="146">
        <v>53378.9</v>
      </c>
      <c r="K16" s="175" t="s">
        <v>5</v>
      </c>
      <c r="L16" s="400" t="s">
        <v>5</v>
      </c>
      <c r="M16" s="396" t="s">
        <v>5</v>
      </c>
      <c r="N16" s="175" t="s">
        <v>5</v>
      </c>
      <c r="O16" s="400" t="s">
        <v>5</v>
      </c>
      <c r="P16" s="396" t="s">
        <v>5</v>
      </c>
      <c r="Q16" s="175" t="s">
        <v>5</v>
      </c>
      <c r="R16" s="400" t="s">
        <v>5</v>
      </c>
      <c r="S16" s="396" t="s">
        <v>5</v>
      </c>
      <c r="T16" s="192">
        <f>(G16*E16/100)+(J16-I16)*H16/100</f>
        <v>9988.5285999999996</v>
      </c>
      <c r="U16" s="19" t="s">
        <v>6</v>
      </c>
      <c r="V16" s="444" t="s">
        <v>218</v>
      </c>
      <c r="W16" s="2" t="str">
        <f t="shared" si="0"/>
        <v>A</v>
      </c>
    </row>
    <row r="17" spans="1:23" s="2" customFormat="1" ht="15" customHeight="1">
      <c r="A17" s="235" t="s">
        <v>11</v>
      </c>
      <c r="B17" s="267">
        <v>1</v>
      </c>
      <c r="C17" s="19" t="s">
        <v>7</v>
      </c>
      <c r="D17" s="306" t="s">
        <v>5</v>
      </c>
      <c r="E17" s="127">
        <f>0.159*100</f>
        <v>15.9</v>
      </c>
      <c r="F17" s="145">
        <v>0</v>
      </c>
      <c r="G17" s="146">
        <f>25494/14</f>
        <v>1821</v>
      </c>
      <c r="H17" s="175" t="s">
        <v>5</v>
      </c>
      <c r="I17" s="400" t="s">
        <v>5</v>
      </c>
      <c r="J17" s="396" t="s">
        <v>5</v>
      </c>
      <c r="K17" s="175" t="s">
        <v>5</v>
      </c>
      <c r="L17" s="400" t="s">
        <v>5</v>
      </c>
      <c r="M17" s="396" t="s">
        <v>5</v>
      </c>
      <c r="N17" s="175" t="s">
        <v>5</v>
      </c>
      <c r="O17" s="400" t="s">
        <v>5</v>
      </c>
      <c r="P17" s="396" t="s">
        <v>5</v>
      </c>
      <c r="Q17" s="175" t="s">
        <v>5</v>
      </c>
      <c r="R17" s="400" t="s">
        <v>5</v>
      </c>
      <c r="S17" s="396" t="s">
        <v>5</v>
      </c>
      <c r="T17" s="192">
        <f>G17*E17/100</f>
        <v>289.53899999999999</v>
      </c>
      <c r="U17" s="19" t="s">
        <v>6</v>
      </c>
      <c r="V17" s="371">
        <v>100</v>
      </c>
      <c r="W17" s="2" t="str">
        <f t="shared" si="0"/>
        <v>A</v>
      </c>
    </row>
    <row r="18" spans="1:23" s="2" customFormat="1" ht="15" customHeight="1">
      <c r="A18" s="235" t="s">
        <v>23</v>
      </c>
      <c r="B18" s="267">
        <v>1</v>
      </c>
      <c r="C18" s="19" t="s">
        <v>8</v>
      </c>
      <c r="D18" s="302" t="s">
        <v>5</v>
      </c>
      <c r="E18" s="127">
        <f>0.08*100</f>
        <v>8</v>
      </c>
      <c r="F18" s="145">
        <v>0</v>
      </c>
      <c r="G18" s="146">
        <v>2197300</v>
      </c>
      <c r="H18" s="175" t="s">
        <v>5</v>
      </c>
      <c r="I18" s="400" t="s">
        <v>5</v>
      </c>
      <c r="J18" s="396" t="s">
        <v>5</v>
      </c>
      <c r="K18" s="175" t="s">
        <v>5</v>
      </c>
      <c r="L18" s="400" t="s">
        <v>5</v>
      </c>
      <c r="M18" s="396" t="s">
        <v>5</v>
      </c>
      <c r="N18" s="175" t="s">
        <v>5</v>
      </c>
      <c r="O18" s="400" t="s">
        <v>5</v>
      </c>
      <c r="P18" s="396" t="s">
        <v>5</v>
      </c>
      <c r="Q18" s="175" t="s">
        <v>5</v>
      </c>
      <c r="R18" s="400" t="s">
        <v>5</v>
      </c>
      <c r="S18" s="396" t="s">
        <v>5</v>
      </c>
      <c r="T18" s="192">
        <f>(G18-F18)*E18/100</f>
        <v>175784</v>
      </c>
      <c r="U18" s="279" t="s">
        <v>28</v>
      </c>
      <c r="V18" s="371">
        <v>25</v>
      </c>
      <c r="W18" s="2" t="str">
        <f t="shared" si="0"/>
        <v>C</v>
      </c>
    </row>
    <row r="19" spans="1:23" s="2" customFormat="1" ht="15" customHeight="1">
      <c r="A19" s="235" t="s">
        <v>23</v>
      </c>
      <c r="B19" s="267">
        <v>2</v>
      </c>
      <c r="C19" s="19" t="s">
        <v>8</v>
      </c>
      <c r="D19" s="302" t="s">
        <v>5</v>
      </c>
      <c r="E19" s="127">
        <f>(0.03+0.015)*100</f>
        <v>4.5</v>
      </c>
      <c r="F19" s="145" t="s">
        <v>5</v>
      </c>
      <c r="G19" s="146" t="s">
        <v>5</v>
      </c>
      <c r="H19" s="175" t="s">
        <v>5</v>
      </c>
      <c r="I19" s="400" t="s">
        <v>5</v>
      </c>
      <c r="J19" s="396" t="s">
        <v>5</v>
      </c>
      <c r="K19" s="175" t="s">
        <v>5</v>
      </c>
      <c r="L19" s="400" t="s">
        <v>5</v>
      </c>
      <c r="M19" s="396" t="s">
        <v>5</v>
      </c>
      <c r="N19" s="175" t="s">
        <v>5</v>
      </c>
      <c r="O19" s="400" t="s">
        <v>5</v>
      </c>
      <c r="P19" s="396" t="s">
        <v>5</v>
      </c>
      <c r="Q19" s="175" t="s">
        <v>5</v>
      </c>
      <c r="R19" s="400" t="s">
        <v>5</v>
      </c>
      <c r="S19" s="396" t="s">
        <v>5</v>
      </c>
      <c r="T19" s="203" t="s">
        <v>5</v>
      </c>
      <c r="U19" s="23" t="s">
        <v>5</v>
      </c>
      <c r="V19" s="374" t="s">
        <v>5</v>
      </c>
      <c r="W19" s="2" t="str">
        <f t="shared" si="0"/>
        <v/>
      </c>
    </row>
    <row r="20" spans="1:23" s="2" customFormat="1" ht="15" customHeight="1">
      <c r="A20" s="235" t="s">
        <v>68</v>
      </c>
      <c r="B20" s="267">
        <v>1</v>
      </c>
      <c r="C20" s="417" t="s">
        <v>6</v>
      </c>
      <c r="D20" s="385">
        <v>4826</v>
      </c>
      <c r="E20" s="127" t="s">
        <v>24</v>
      </c>
      <c r="F20" s="145">
        <v>781579</v>
      </c>
      <c r="G20" s="393" t="s">
        <v>24</v>
      </c>
      <c r="H20" s="175" t="s">
        <v>5</v>
      </c>
      <c r="I20" s="400" t="s">
        <v>5</v>
      </c>
      <c r="J20" s="396" t="s">
        <v>5</v>
      </c>
      <c r="K20" s="175" t="s">
        <v>5</v>
      </c>
      <c r="L20" s="400" t="s">
        <v>5</v>
      </c>
      <c r="M20" s="396" t="s">
        <v>5</v>
      </c>
      <c r="N20" s="175" t="s">
        <v>5</v>
      </c>
      <c r="O20" s="400" t="s">
        <v>5</v>
      </c>
      <c r="P20" s="396" t="s">
        <v>5</v>
      </c>
      <c r="Q20" s="175" t="s">
        <v>5</v>
      </c>
      <c r="R20" s="400" t="s">
        <v>5</v>
      </c>
      <c r="S20" s="396" t="s">
        <v>5</v>
      </c>
      <c r="T20" s="203" t="s">
        <v>5</v>
      </c>
      <c r="U20" s="54" t="s">
        <v>5</v>
      </c>
      <c r="V20" s="374" t="s">
        <v>5</v>
      </c>
      <c r="W20" s="2" t="str">
        <f t="shared" si="0"/>
        <v/>
      </c>
    </row>
    <row r="21" spans="1:23" s="2" customFormat="1" ht="15" customHeight="1">
      <c r="A21" s="235" t="s">
        <v>68</v>
      </c>
      <c r="B21" s="267">
        <v>2</v>
      </c>
      <c r="C21" s="417" t="s">
        <v>8</v>
      </c>
      <c r="D21" s="386" t="s">
        <v>5</v>
      </c>
      <c r="E21" s="127">
        <v>8</v>
      </c>
      <c r="F21" s="392" t="s">
        <v>5</v>
      </c>
      <c r="G21" s="393" t="s">
        <v>5</v>
      </c>
      <c r="H21" s="175" t="s">
        <v>5</v>
      </c>
      <c r="I21" s="400" t="s">
        <v>5</v>
      </c>
      <c r="J21" s="396" t="s">
        <v>5</v>
      </c>
      <c r="K21" s="175" t="s">
        <v>5</v>
      </c>
      <c r="L21" s="400" t="s">
        <v>5</v>
      </c>
      <c r="M21" s="396" t="s">
        <v>5</v>
      </c>
      <c r="N21" s="175" t="s">
        <v>5</v>
      </c>
      <c r="O21" s="400" t="s">
        <v>5</v>
      </c>
      <c r="P21" s="396" t="s">
        <v>5</v>
      </c>
      <c r="Q21" s="175" t="s">
        <v>5</v>
      </c>
      <c r="R21" s="400" t="s">
        <v>5</v>
      </c>
      <c r="S21" s="396" t="s">
        <v>5</v>
      </c>
      <c r="T21" s="203" t="s">
        <v>5</v>
      </c>
      <c r="U21" s="19" t="s">
        <v>6</v>
      </c>
      <c r="V21" s="371">
        <v>100</v>
      </c>
      <c r="W21" s="2" t="str">
        <f t="shared" si="0"/>
        <v>A</v>
      </c>
    </row>
    <row r="22" spans="1:23" s="2" customFormat="1" ht="15" customHeight="1">
      <c r="A22" s="235" t="s">
        <v>92</v>
      </c>
      <c r="B22" s="267">
        <v>1</v>
      </c>
      <c r="C22" s="19" t="s">
        <v>8</v>
      </c>
      <c r="D22" s="303" t="s">
        <v>5</v>
      </c>
      <c r="E22" s="127">
        <f>0.02*100</f>
        <v>2</v>
      </c>
      <c r="F22" s="145">
        <v>18487</v>
      </c>
      <c r="G22" s="396" t="s">
        <v>5</v>
      </c>
      <c r="H22" s="175" t="s">
        <v>5</v>
      </c>
      <c r="I22" s="400" t="s">
        <v>5</v>
      </c>
      <c r="J22" s="396" t="s">
        <v>5</v>
      </c>
      <c r="K22" s="175" t="s">
        <v>5</v>
      </c>
      <c r="L22" s="400" t="s">
        <v>5</v>
      </c>
      <c r="M22" s="396" t="s">
        <v>5</v>
      </c>
      <c r="N22" s="175" t="s">
        <v>5</v>
      </c>
      <c r="O22" s="400" t="s">
        <v>5</v>
      </c>
      <c r="P22" s="396" t="s">
        <v>5</v>
      </c>
      <c r="Q22" s="175" t="s">
        <v>5</v>
      </c>
      <c r="R22" s="400" t="s">
        <v>5</v>
      </c>
      <c r="S22" s="396" t="s">
        <v>5</v>
      </c>
      <c r="T22" s="188" t="s">
        <v>5</v>
      </c>
      <c r="U22" s="239" t="s">
        <v>5</v>
      </c>
      <c r="V22" s="372" t="s">
        <v>5</v>
      </c>
      <c r="W22" s="2" t="str">
        <f t="shared" si="0"/>
        <v/>
      </c>
    </row>
    <row r="23" spans="1:23" s="2" customFormat="1" ht="15" customHeight="1">
      <c r="A23" s="235" t="s">
        <v>92</v>
      </c>
      <c r="B23" s="267">
        <v>2</v>
      </c>
      <c r="C23" s="19" t="str">
        <f>C22</f>
        <v>AGE</v>
      </c>
      <c r="D23" s="302" t="s">
        <v>5</v>
      </c>
      <c r="E23" s="127">
        <f>0.04*100</f>
        <v>4</v>
      </c>
      <c r="F23" s="145" t="s">
        <v>81</v>
      </c>
      <c r="G23" s="393">
        <v>35870</v>
      </c>
      <c r="H23" s="175" t="s">
        <v>5</v>
      </c>
      <c r="I23" s="400" t="s">
        <v>5</v>
      </c>
      <c r="J23" s="396" t="s">
        <v>5</v>
      </c>
      <c r="K23" s="175" t="s">
        <v>5</v>
      </c>
      <c r="L23" s="400" t="s">
        <v>5</v>
      </c>
      <c r="M23" s="396" t="s">
        <v>5</v>
      </c>
      <c r="N23" s="175" t="s">
        <v>5</v>
      </c>
      <c r="O23" s="400" t="s">
        <v>5</v>
      </c>
      <c r="P23" s="396" t="s">
        <v>5</v>
      </c>
      <c r="Q23" s="175" t="s">
        <v>5</v>
      </c>
      <c r="R23" s="400" t="s">
        <v>5</v>
      </c>
      <c r="S23" s="396" t="s">
        <v>5</v>
      </c>
      <c r="T23" s="203">
        <f>E23*G23/100</f>
        <v>1434.8</v>
      </c>
      <c r="U23" s="23" t="s">
        <v>5</v>
      </c>
      <c r="V23" s="374" t="s">
        <v>5</v>
      </c>
      <c r="W23" s="2" t="str">
        <f t="shared" si="0"/>
        <v/>
      </c>
    </row>
    <row r="24" spans="1:23" ht="15" customHeight="1">
      <c r="A24" s="235" t="s">
        <v>69</v>
      </c>
      <c r="B24" s="267">
        <v>1</v>
      </c>
      <c r="C24" s="19" t="s">
        <v>7</v>
      </c>
      <c r="D24" s="303" t="s">
        <v>5</v>
      </c>
      <c r="E24" s="127">
        <f>0.0576*100</f>
        <v>5.76</v>
      </c>
      <c r="F24" s="145">
        <v>0</v>
      </c>
      <c r="G24" s="146">
        <f>41784/12</f>
        <v>3482</v>
      </c>
      <c r="H24" s="127">
        <f>0.097*100</f>
        <v>9.7000000000000011</v>
      </c>
      <c r="I24" s="145">
        <v>3482</v>
      </c>
      <c r="J24" s="146">
        <f>417840/12</f>
        <v>34820</v>
      </c>
      <c r="K24" s="175" t="s">
        <v>5</v>
      </c>
      <c r="L24" s="400" t="s">
        <v>5</v>
      </c>
      <c r="M24" s="396" t="s">
        <v>5</v>
      </c>
      <c r="N24" s="175" t="s">
        <v>5</v>
      </c>
      <c r="O24" s="400" t="s">
        <v>5</v>
      </c>
      <c r="P24" s="396" t="s">
        <v>5</v>
      </c>
      <c r="Q24" s="175" t="s">
        <v>5</v>
      </c>
      <c r="R24" s="400" t="s">
        <v>5</v>
      </c>
      <c r="S24" s="396" t="s">
        <v>5</v>
      </c>
      <c r="T24" s="192">
        <f>+E24/100*G24+H24/100*(J24-I24)</f>
        <v>3240.3492000000006</v>
      </c>
      <c r="U24" s="67" t="s">
        <v>5</v>
      </c>
      <c r="V24" s="372" t="s">
        <v>5</v>
      </c>
      <c r="W24" s="2" t="str">
        <f t="shared" si="0"/>
        <v/>
      </c>
    </row>
    <row r="25" spans="1:23" s="2" customFormat="1" ht="15" customHeight="1">
      <c r="A25" s="235" t="s">
        <v>13</v>
      </c>
      <c r="B25" s="267">
        <v>1</v>
      </c>
      <c r="C25" s="19" t="s">
        <v>8</v>
      </c>
      <c r="D25" s="303" t="s">
        <v>5</v>
      </c>
      <c r="E25" s="127">
        <f>0.0919*100</f>
        <v>9.19</v>
      </c>
      <c r="F25" s="145">
        <v>0</v>
      </c>
      <c r="G25" s="146">
        <v>35143.859069241378</v>
      </c>
      <c r="H25" s="127">
        <f>0.1019*100</f>
        <v>10.190000000000001</v>
      </c>
      <c r="I25" s="145">
        <f>G25</f>
        <v>35143.859069241378</v>
      </c>
      <c r="J25" s="393">
        <v>76442.851461831247</v>
      </c>
      <c r="K25" s="175" t="s">
        <v>5</v>
      </c>
      <c r="L25" s="400" t="s">
        <v>5</v>
      </c>
      <c r="M25" s="396" t="s">
        <v>5</v>
      </c>
      <c r="N25" s="175" t="s">
        <v>5</v>
      </c>
      <c r="O25" s="400" t="s">
        <v>5</v>
      </c>
      <c r="P25" s="396" t="s">
        <v>5</v>
      </c>
      <c r="Q25" s="175" t="s">
        <v>5</v>
      </c>
      <c r="R25" s="400" t="s">
        <v>5</v>
      </c>
      <c r="S25" s="396" t="s">
        <v>5</v>
      </c>
      <c r="T25" s="192">
        <f>((E25/100)*G25)+(H25/100)*(J25-I25)</f>
        <v>7438.0879732681906</v>
      </c>
      <c r="U25" s="19" t="s">
        <v>6</v>
      </c>
      <c r="V25" s="340">
        <v>100</v>
      </c>
      <c r="W25" s="2" t="str">
        <f t="shared" si="0"/>
        <v>A</v>
      </c>
    </row>
    <row r="26" spans="1:23" s="2" customFormat="1" ht="15" customHeight="1">
      <c r="A26" s="235" t="s">
        <v>14</v>
      </c>
      <c r="B26" s="267">
        <v>1</v>
      </c>
      <c r="C26" s="407" t="s">
        <v>7</v>
      </c>
      <c r="D26" s="306" t="s">
        <v>5</v>
      </c>
      <c r="E26" s="127">
        <f>8.675+H26</f>
        <v>13.325000000000001</v>
      </c>
      <c r="F26" s="392">
        <v>0</v>
      </c>
      <c r="G26" s="146">
        <f>7440000/12</f>
        <v>620000</v>
      </c>
      <c r="H26" s="127">
        <f>4.25+K26</f>
        <v>4.6500000000000004</v>
      </c>
      <c r="I26" s="392">
        <f>G26</f>
        <v>620000</v>
      </c>
      <c r="J26" s="146">
        <f>11760000/12</f>
        <v>980000</v>
      </c>
      <c r="K26" s="127">
        <v>0.4</v>
      </c>
      <c r="L26" s="392">
        <f>J26</f>
        <v>980000</v>
      </c>
      <c r="M26" s="317" t="s">
        <v>5</v>
      </c>
      <c r="N26" s="175" t="s">
        <v>5</v>
      </c>
      <c r="O26" s="400" t="s">
        <v>5</v>
      </c>
      <c r="P26" s="396" t="s">
        <v>5</v>
      </c>
      <c r="Q26" s="175" t="s">
        <v>5</v>
      </c>
      <c r="R26" s="400" t="s">
        <v>5</v>
      </c>
      <c r="S26" s="396" t="s">
        <v>5</v>
      </c>
      <c r="T26" s="203" t="s">
        <v>5</v>
      </c>
      <c r="U26" s="19" t="s">
        <v>6</v>
      </c>
      <c r="V26" s="371">
        <v>100</v>
      </c>
      <c r="W26" s="2" t="str">
        <f t="shared" si="0"/>
        <v>A</v>
      </c>
    </row>
    <row r="27" spans="1:23" s="2" customFormat="1" ht="15" customHeight="1">
      <c r="A27" s="235" t="s">
        <v>15</v>
      </c>
      <c r="B27" s="267">
        <v>1</v>
      </c>
      <c r="C27" s="19" t="s">
        <v>7</v>
      </c>
      <c r="D27" s="306" t="s">
        <v>5</v>
      </c>
      <c r="E27" s="127">
        <f>(0.045+0.017+0.005)*100</f>
        <v>6.7</v>
      </c>
      <c r="F27" s="114">
        <v>0</v>
      </c>
      <c r="G27" s="396" t="s">
        <v>5</v>
      </c>
      <c r="H27" s="175" t="s">
        <v>5</v>
      </c>
      <c r="I27" s="400" t="s">
        <v>5</v>
      </c>
      <c r="J27" s="396" t="s">
        <v>5</v>
      </c>
      <c r="K27" s="175" t="s">
        <v>5</v>
      </c>
      <c r="L27" s="400" t="s">
        <v>5</v>
      </c>
      <c r="M27" s="396" t="s">
        <v>5</v>
      </c>
      <c r="N27" s="175" t="s">
        <v>5</v>
      </c>
      <c r="O27" s="400" t="s">
        <v>5</v>
      </c>
      <c r="P27" s="396" t="s">
        <v>5</v>
      </c>
      <c r="Q27" s="175" t="s">
        <v>5</v>
      </c>
      <c r="R27" s="400" t="s">
        <v>5</v>
      </c>
      <c r="S27" s="396" t="s">
        <v>5</v>
      </c>
      <c r="T27" s="203" t="s">
        <v>5</v>
      </c>
      <c r="U27" s="19" t="s">
        <v>6</v>
      </c>
      <c r="V27" s="371">
        <v>100</v>
      </c>
      <c r="W27" s="2" t="str">
        <f t="shared" si="0"/>
        <v>A</v>
      </c>
    </row>
    <row r="28" spans="1:23" s="40" customFormat="1">
      <c r="A28" s="513" t="s">
        <v>282</v>
      </c>
      <c r="B28" s="500">
        <v>1</v>
      </c>
      <c r="C28" s="30" t="s">
        <v>8</v>
      </c>
      <c r="D28" s="502" t="s">
        <v>5</v>
      </c>
      <c r="E28" s="503">
        <v>9</v>
      </c>
      <c r="F28" s="400">
        <v>0</v>
      </c>
      <c r="G28" s="396">
        <v>22766</v>
      </c>
      <c r="H28" s="501"/>
      <c r="I28" s="504"/>
      <c r="J28" s="505"/>
      <c r="K28" s="501"/>
      <c r="L28" s="504"/>
      <c r="M28" s="505"/>
      <c r="N28" s="506"/>
      <c r="O28" s="504"/>
      <c r="P28" s="505"/>
      <c r="Q28" s="506"/>
      <c r="R28" s="504"/>
      <c r="S28" s="505"/>
      <c r="T28" s="507">
        <f>(E28/100)*G28</f>
        <v>2048.94</v>
      </c>
      <c r="U28" s="62" t="s">
        <v>6</v>
      </c>
      <c r="V28" s="375">
        <v>100</v>
      </c>
      <c r="W28" s="30" t="str">
        <f t="shared" si="0"/>
        <v>A</v>
      </c>
    </row>
    <row r="29" spans="1:23" s="2" customFormat="1" ht="15" customHeight="1">
      <c r="A29" s="235" t="s">
        <v>82</v>
      </c>
      <c r="B29" s="267">
        <v>1</v>
      </c>
      <c r="C29" s="19" t="s">
        <v>8</v>
      </c>
      <c r="D29" s="304" t="s">
        <v>5</v>
      </c>
      <c r="E29" s="127">
        <f>0.1072*100</f>
        <v>10.72</v>
      </c>
      <c r="F29" s="145">
        <v>0</v>
      </c>
      <c r="G29" s="146">
        <v>75524.926900000006</v>
      </c>
      <c r="H29" s="175" t="s">
        <v>5</v>
      </c>
      <c r="I29" s="400" t="s">
        <v>5</v>
      </c>
      <c r="J29" s="396" t="s">
        <v>5</v>
      </c>
      <c r="K29" s="175" t="s">
        <v>5</v>
      </c>
      <c r="L29" s="400" t="s">
        <v>5</v>
      </c>
      <c r="M29" s="396" t="s">
        <v>5</v>
      </c>
      <c r="N29" s="175" t="s">
        <v>5</v>
      </c>
      <c r="O29" s="400" t="s">
        <v>5</v>
      </c>
      <c r="P29" s="396" t="s">
        <v>5</v>
      </c>
      <c r="Q29" s="175" t="s">
        <v>5</v>
      </c>
      <c r="R29" s="400" t="s">
        <v>5</v>
      </c>
      <c r="S29" s="396" t="s">
        <v>5</v>
      </c>
      <c r="T29" s="192">
        <f>G29*E29/100</f>
        <v>8096.2721636800015</v>
      </c>
      <c r="U29" s="28" t="s">
        <v>6</v>
      </c>
      <c r="V29" s="373">
        <v>100</v>
      </c>
      <c r="W29" s="2" t="str">
        <f t="shared" si="0"/>
        <v>A</v>
      </c>
    </row>
    <row r="30" spans="1:23" s="2" customFormat="1" ht="15" customHeight="1">
      <c r="A30" s="235" t="s">
        <v>82</v>
      </c>
      <c r="B30" s="267">
        <v>2</v>
      </c>
      <c r="C30" s="19" t="s">
        <v>8</v>
      </c>
      <c r="D30" s="304" t="s">
        <v>5</v>
      </c>
      <c r="E30" s="127">
        <f>0.01*100</f>
        <v>1</v>
      </c>
      <c r="F30" s="145">
        <f>0.25*15104.9854</f>
        <v>3776.2463499999999</v>
      </c>
      <c r="G30" s="180" t="s">
        <v>5</v>
      </c>
      <c r="H30" s="120" t="s">
        <v>5</v>
      </c>
      <c r="I30" s="219" t="s">
        <v>5</v>
      </c>
      <c r="J30" s="180" t="s">
        <v>5</v>
      </c>
      <c r="K30" s="120" t="s">
        <v>5</v>
      </c>
      <c r="L30" s="219" t="s">
        <v>5</v>
      </c>
      <c r="M30" s="180" t="s">
        <v>5</v>
      </c>
      <c r="N30" s="120" t="s">
        <v>5</v>
      </c>
      <c r="O30" s="219" t="s">
        <v>5</v>
      </c>
      <c r="P30" s="180" t="s">
        <v>5</v>
      </c>
      <c r="Q30" s="120" t="s">
        <v>5</v>
      </c>
      <c r="R30" s="219" t="s">
        <v>5</v>
      </c>
      <c r="S30" s="180" t="s">
        <v>5</v>
      </c>
      <c r="T30" s="193" t="s">
        <v>5</v>
      </c>
      <c r="U30" s="7" t="s">
        <v>5</v>
      </c>
      <c r="V30" s="376" t="s">
        <v>5</v>
      </c>
      <c r="W30" s="2" t="str">
        <f t="shared" si="0"/>
        <v/>
      </c>
    </row>
    <row r="31" spans="1:23" s="2" customFormat="1" ht="15" customHeight="1">
      <c r="A31" s="235" t="s">
        <v>71</v>
      </c>
      <c r="B31" s="267">
        <v>1</v>
      </c>
      <c r="C31" s="19" t="s">
        <v>7</v>
      </c>
      <c r="D31" s="386" t="s">
        <v>5</v>
      </c>
      <c r="E31" s="127">
        <f>0.625+0.625</f>
        <v>1.25</v>
      </c>
      <c r="F31" s="145">
        <v>0</v>
      </c>
      <c r="G31" s="146">
        <f>3*40.35*(365/12)</f>
        <v>3681.9375000000005</v>
      </c>
      <c r="H31" s="127">
        <f>E31+1.68</f>
        <v>2.9299999999999997</v>
      </c>
      <c r="I31" s="145">
        <f>G31</f>
        <v>3681.9375000000005</v>
      </c>
      <c r="J31" s="146">
        <f>18*40.35*(365/12)</f>
        <v>22091.625000000004</v>
      </c>
      <c r="K31" s="127">
        <f>0.625+1.68</f>
        <v>2.3049999999999997</v>
      </c>
      <c r="L31" s="145">
        <f>J31</f>
        <v>22091.625000000004</v>
      </c>
      <c r="M31" s="146">
        <f>25*40.35*(365/12)</f>
        <v>30682.8125</v>
      </c>
      <c r="N31" s="175" t="s">
        <v>5</v>
      </c>
      <c r="O31" s="400" t="s">
        <v>5</v>
      </c>
      <c r="P31" s="396" t="s">
        <v>5</v>
      </c>
      <c r="Q31" s="175" t="s">
        <v>5</v>
      </c>
      <c r="R31" s="400" t="s">
        <v>5</v>
      </c>
      <c r="S31" s="396" t="s">
        <v>5</v>
      </c>
      <c r="T31" s="193">
        <f>($E$31/100*$G$31)+($H$31/100*($J$31-$I$31))+($K$31/100*($M$31-$L$31))</f>
        <v>783.45493437499999</v>
      </c>
      <c r="U31" s="335" t="s">
        <v>5</v>
      </c>
      <c r="V31" s="343" t="s">
        <v>5</v>
      </c>
      <c r="W31" s="2" t="str">
        <f t="shared" si="0"/>
        <v/>
      </c>
    </row>
    <row r="32" spans="1:23" s="2" customFormat="1" ht="15" customHeight="1">
      <c r="A32" s="272" t="s">
        <v>60</v>
      </c>
      <c r="B32" s="405">
        <v>1</v>
      </c>
      <c r="C32" s="28" t="s">
        <v>6</v>
      </c>
      <c r="D32" s="304" t="s">
        <v>5</v>
      </c>
      <c r="E32" s="127">
        <f>(0.179+0.0125+0.1025)*100</f>
        <v>29.4</v>
      </c>
      <c r="F32" s="114">
        <v>0</v>
      </c>
      <c r="G32" s="115">
        <v>27009</v>
      </c>
      <c r="H32" s="120" t="s">
        <v>5</v>
      </c>
      <c r="I32" s="219" t="s">
        <v>5</v>
      </c>
      <c r="J32" s="180" t="s">
        <v>5</v>
      </c>
      <c r="K32" s="120" t="s">
        <v>5</v>
      </c>
      <c r="L32" s="219" t="s">
        <v>5</v>
      </c>
      <c r="M32" s="180" t="s">
        <v>5</v>
      </c>
      <c r="N32" s="120" t="s">
        <v>5</v>
      </c>
      <c r="O32" s="219" t="s">
        <v>5</v>
      </c>
      <c r="P32" s="180" t="s">
        <v>5</v>
      </c>
      <c r="Q32" s="120" t="s">
        <v>5</v>
      </c>
      <c r="R32" s="219" t="s">
        <v>5</v>
      </c>
      <c r="S32" s="180" t="s">
        <v>5</v>
      </c>
      <c r="T32" s="196">
        <f>(G32-F32)*E32/100</f>
        <v>7940.6459999999997</v>
      </c>
      <c r="U32" s="28" t="s">
        <v>6</v>
      </c>
      <c r="V32" s="373">
        <v>100</v>
      </c>
      <c r="W32" s="2" t="str">
        <f t="shared" si="0"/>
        <v>A</v>
      </c>
    </row>
    <row r="33" spans="1:24" s="2" customFormat="1" ht="15" customHeight="1">
      <c r="A33" s="244" t="s">
        <v>35</v>
      </c>
      <c r="B33" s="277">
        <v>0</v>
      </c>
      <c r="C33" s="270" t="s">
        <v>250</v>
      </c>
      <c r="D33" s="446" t="s">
        <v>5</v>
      </c>
      <c r="E33" s="366" t="s">
        <v>5</v>
      </c>
      <c r="F33" s="448" t="s">
        <v>5</v>
      </c>
      <c r="G33" s="449" t="s">
        <v>5</v>
      </c>
      <c r="H33" s="175" t="s">
        <v>5</v>
      </c>
      <c r="I33" s="400" t="s">
        <v>5</v>
      </c>
      <c r="J33" s="396" t="s">
        <v>5</v>
      </c>
      <c r="K33" s="175" t="s">
        <v>5</v>
      </c>
      <c r="L33" s="400" t="s">
        <v>5</v>
      </c>
      <c r="M33" s="396" t="s">
        <v>5</v>
      </c>
      <c r="N33" s="175" t="s">
        <v>5</v>
      </c>
      <c r="O33" s="400" t="s">
        <v>5</v>
      </c>
      <c r="P33" s="396" t="s">
        <v>5</v>
      </c>
      <c r="Q33" s="175" t="s">
        <v>5</v>
      </c>
      <c r="R33" s="400" t="s">
        <v>5</v>
      </c>
      <c r="S33" s="396" t="s">
        <v>5</v>
      </c>
      <c r="T33" s="367" t="s">
        <v>5</v>
      </c>
      <c r="U33" s="270" t="s">
        <v>5</v>
      </c>
      <c r="V33" s="370" t="s">
        <v>5</v>
      </c>
      <c r="W33" s="2" t="str">
        <f t="shared" si="0"/>
        <v/>
      </c>
    </row>
    <row r="34" spans="1:24" s="2" customFormat="1" ht="15" customHeight="1">
      <c r="A34" s="235" t="s">
        <v>16</v>
      </c>
      <c r="B34" s="267">
        <v>1</v>
      </c>
      <c r="C34" s="19" t="s">
        <v>8</v>
      </c>
      <c r="D34" s="302" t="s">
        <v>5</v>
      </c>
      <c r="E34" s="127">
        <f>0.078*100</f>
        <v>7.8</v>
      </c>
      <c r="F34" s="145" t="s">
        <v>38</v>
      </c>
      <c r="G34" s="393" t="s">
        <v>5</v>
      </c>
      <c r="H34" s="175" t="s">
        <v>5</v>
      </c>
      <c r="I34" s="400" t="s">
        <v>5</v>
      </c>
      <c r="J34" s="396" t="s">
        <v>5</v>
      </c>
      <c r="K34" s="175" t="s">
        <v>5</v>
      </c>
      <c r="L34" s="400" t="s">
        <v>5</v>
      </c>
      <c r="M34" s="396" t="s">
        <v>5</v>
      </c>
      <c r="N34" s="175" t="s">
        <v>5</v>
      </c>
      <c r="O34" s="400" t="s">
        <v>5</v>
      </c>
      <c r="P34" s="396" t="s">
        <v>5</v>
      </c>
      <c r="Q34" s="175" t="s">
        <v>5</v>
      </c>
      <c r="R34" s="400" t="s">
        <v>5</v>
      </c>
      <c r="S34" s="396" t="s">
        <v>5</v>
      </c>
      <c r="T34" s="202" t="s">
        <v>5</v>
      </c>
      <c r="U34" s="54" t="s">
        <v>5</v>
      </c>
      <c r="V34" s="374" t="s">
        <v>5</v>
      </c>
      <c r="W34" s="2" t="str">
        <f t="shared" si="0"/>
        <v/>
      </c>
    </row>
    <row r="35" spans="1:24" s="2" customFormat="1" ht="15" customHeight="1">
      <c r="A35" s="235" t="s">
        <v>72</v>
      </c>
      <c r="B35" s="267">
        <v>1</v>
      </c>
      <c r="C35" s="19" t="s">
        <v>8</v>
      </c>
      <c r="D35" s="303" t="s">
        <v>5</v>
      </c>
      <c r="E35" s="127">
        <f>(0.061098+0.065)*100</f>
        <v>12.609799999999998</v>
      </c>
      <c r="F35" s="145">
        <v>0</v>
      </c>
      <c r="G35" s="146">
        <v>62940</v>
      </c>
      <c r="H35" s="127">
        <f>0.0245*100</f>
        <v>2.4500000000000002</v>
      </c>
      <c r="I35" s="145">
        <v>62940</v>
      </c>
      <c r="J35" s="396" t="s">
        <v>5</v>
      </c>
      <c r="K35" s="175" t="s">
        <v>5</v>
      </c>
      <c r="L35" s="400" t="s">
        <v>5</v>
      </c>
      <c r="M35" s="396" t="s">
        <v>5</v>
      </c>
      <c r="N35" s="175" t="s">
        <v>5</v>
      </c>
      <c r="O35" s="400" t="s">
        <v>5</v>
      </c>
      <c r="P35" s="396" t="s">
        <v>5</v>
      </c>
      <c r="Q35" s="175" t="s">
        <v>5</v>
      </c>
      <c r="R35" s="400" t="s">
        <v>5</v>
      </c>
      <c r="S35" s="396" t="s">
        <v>5</v>
      </c>
      <c r="T35" s="199" t="s">
        <v>5</v>
      </c>
      <c r="U35" s="19" t="s">
        <v>6</v>
      </c>
      <c r="V35" s="371">
        <v>100</v>
      </c>
      <c r="W35" s="2" t="str">
        <f t="shared" si="0"/>
        <v>A</v>
      </c>
    </row>
    <row r="36" spans="1:24" s="2" customFormat="1" ht="15" customHeight="1">
      <c r="A36" s="235" t="s">
        <v>72</v>
      </c>
      <c r="B36" s="267">
        <v>2</v>
      </c>
      <c r="C36" s="19" t="s">
        <v>8</v>
      </c>
      <c r="D36" s="302" t="s">
        <v>5</v>
      </c>
      <c r="E36" s="127">
        <f>0.0775*100</f>
        <v>7.75</v>
      </c>
      <c r="F36" s="145" t="s">
        <v>5</v>
      </c>
      <c r="G36" s="146" t="s">
        <v>5</v>
      </c>
      <c r="H36" s="175" t="s">
        <v>5</v>
      </c>
      <c r="I36" s="400" t="s">
        <v>5</v>
      </c>
      <c r="J36" s="396" t="s">
        <v>5</v>
      </c>
      <c r="K36" s="175" t="s">
        <v>5</v>
      </c>
      <c r="L36" s="400" t="s">
        <v>5</v>
      </c>
      <c r="M36" s="396" t="s">
        <v>5</v>
      </c>
      <c r="N36" s="175" t="s">
        <v>5</v>
      </c>
      <c r="O36" s="400" t="s">
        <v>5</v>
      </c>
      <c r="P36" s="396" t="s">
        <v>5</v>
      </c>
      <c r="Q36" s="175" t="s">
        <v>5</v>
      </c>
      <c r="R36" s="400" t="s">
        <v>5</v>
      </c>
      <c r="S36" s="396" t="s">
        <v>5</v>
      </c>
      <c r="T36" s="202" t="s">
        <v>5</v>
      </c>
      <c r="U36" s="28" t="s">
        <v>5</v>
      </c>
      <c r="V36" s="373" t="s">
        <v>5</v>
      </c>
      <c r="W36" s="2" t="str">
        <f t="shared" si="0"/>
        <v/>
      </c>
    </row>
    <row r="37" spans="1:24" s="2" customFormat="1" ht="15" customHeight="1">
      <c r="A37" s="235" t="s">
        <v>17</v>
      </c>
      <c r="B37" s="267">
        <v>1</v>
      </c>
      <c r="C37" s="19" t="s">
        <v>7</v>
      </c>
      <c r="D37" s="302" t="s">
        <v>5</v>
      </c>
      <c r="E37" s="127">
        <f>0.11*100</f>
        <v>11</v>
      </c>
      <c r="F37" s="392" t="s">
        <v>5</v>
      </c>
      <c r="G37" s="393" t="s">
        <v>5</v>
      </c>
      <c r="H37" s="175" t="s">
        <v>5</v>
      </c>
      <c r="I37" s="400" t="s">
        <v>5</v>
      </c>
      <c r="J37" s="396" t="s">
        <v>5</v>
      </c>
      <c r="K37" s="175" t="s">
        <v>5</v>
      </c>
      <c r="L37" s="400" t="s">
        <v>5</v>
      </c>
      <c r="M37" s="396" t="s">
        <v>5</v>
      </c>
      <c r="N37" s="175" t="s">
        <v>5</v>
      </c>
      <c r="O37" s="400" t="s">
        <v>5</v>
      </c>
      <c r="P37" s="396" t="s">
        <v>5</v>
      </c>
      <c r="Q37" s="175" t="s">
        <v>5</v>
      </c>
      <c r="R37" s="400" t="s">
        <v>5</v>
      </c>
      <c r="S37" s="396" t="s">
        <v>5</v>
      </c>
      <c r="T37" s="202" t="s">
        <v>5</v>
      </c>
      <c r="U37" s="19" t="s">
        <v>6</v>
      </c>
      <c r="V37" s="371">
        <v>100</v>
      </c>
      <c r="W37" s="2" t="str">
        <f t="shared" si="0"/>
        <v>A</v>
      </c>
    </row>
    <row r="38" spans="1:24" ht="15" customHeight="1">
      <c r="A38" s="235" t="s">
        <v>51</v>
      </c>
      <c r="B38" s="266">
        <v>1</v>
      </c>
      <c r="C38" s="19" t="s">
        <v>7</v>
      </c>
      <c r="D38" s="304" t="s">
        <v>5</v>
      </c>
      <c r="E38" s="127">
        <f>(0.078+0.04+0.01)*100</f>
        <v>12.8</v>
      </c>
      <c r="F38" s="145" t="str">
        <f>"["&amp;ROUND(150.37,1)&amp;"]"</f>
        <v>[150.4]</v>
      </c>
      <c r="G38" s="146">
        <f>9559.84863572993/12</f>
        <v>796.65405297749419</v>
      </c>
      <c r="H38" s="499">
        <f>(0.078+0.04)*100</f>
        <v>11.799999999999999</v>
      </c>
      <c r="I38" s="400">
        <f>G38</f>
        <v>796.65405297749419</v>
      </c>
      <c r="J38" s="396">
        <f>12746.4648476399/12</f>
        <v>1062.2054039699917</v>
      </c>
      <c r="K38" s="175" t="s">
        <v>5</v>
      </c>
      <c r="L38" s="400" t="s">
        <v>5</v>
      </c>
      <c r="M38" s="396" t="s">
        <v>5</v>
      </c>
      <c r="N38" s="175" t="s">
        <v>5</v>
      </c>
      <c r="O38" s="400" t="s">
        <v>5</v>
      </c>
      <c r="P38" s="396" t="s">
        <v>5</v>
      </c>
      <c r="Q38" s="175" t="s">
        <v>5</v>
      </c>
      <c r="R38" s="400" t="s">
        <v>5</v>
      </c>
      <c r="S38" s="396" t="s">
        <v>5</v>
      </c>
      <c r="T38" s="202">
        <f>(E38*G38)/100+(H38*J38)/100</f>
        <v>227.31195644957828</v>
      </c>
      <c r="U38" s="28" t="s">
        <v>6</v>
      </c>
      <c r="V38" s="373">
        <v>100</v>
      </c>
      <c r="W38" s="4" t="str">
        <f t="shared" si="0"/>
        <v>A</v>
      </c>
    </row>
    <row r="39" spans="1:24" ht="15" customHeight="1">
      <c r="A39" s="235" t="s">
        <v>59</v>
      </c>
      <c r="B39" s="267">
        <v>1</v>
      </c>
      <c r="C39" s="19" t="s">
        <v>7</v>
      </c>
      <c r="D39" s="303" t="s">
        <v>5</v>
      </c>
      <c r="E39" s="127">
        <f>0.221*100</f>
        <v>22.1</v>
      </c>
      <c r="F39" s="400" t="s">
        <v>5</v>
      </c>
      <c r="G39" s="396" t="s">
        <v>5</v>
      </c>
      <c r="H39" s="175" t="s">
        <v>5</v>
      </c>
      <c r="I39" s="400" t="s">
        <v>5</v>
      </c>
      <c r="J39" s="396" t="s">
        <v>5</v>
      </c>
      <c r="K39" s="175" t="s">
        <v>5</v>
      </c>
      <c r="L39" s="400" t="s">
        <v>5</v>
      </c>
      <c r="M39" s="396" t="s">
        <v>5</v>
      </c>
      <c r="N39" s="175" t="s">
        <v>5</v>
      </c>
      <c r="O39" s="400" t="s">
        <v>5</v>
      </c>
      <c r="P39" s="396" t="s">
        <v>5</v>
      </c>
      <c r="Q39" s="175" t="s">
        <v>5</v>
      </c>
      <c r="R39" s="400" t="s">
        <v>5</v>
      </c>
      <c r="S39" s="396" t="s">
        <v>5</v>
      </c>
      <c r="T39" s="199" t="s">
        <v>5</v>
      </c>
      <c r="U39" s="28" t="s">
        <v>6</v>
      </c>
      <c r="V39" s="373">
        <v>100</v>
      </c>
      <c r="W39" s="2" t="str">
        <f t="shared" si="0"/>
        <v>A</v>
      </c>
    </row>
    <row r="40" spans="1:24" s="2" customFormat="1" ht="15" customHeight="1">
      <c r="A40" s="235" t="s">
        <v>213</v>
      </c>
      <c r="B40" s="267">
        <v>1</v>
      </c>
      <c r="C40" s="19" t="s">
        <v>8</v>
      </c>
      <c r="D40" s="302" t="s">
        <v>5</v>
      </c>
      <c r="E40" s="127">
        <f>(0.047+0.0155+0.001)*100</f>
        <v>6.35</v>
      </c>
      <c r="F40" s="114">
        <v>0</v>
      </c>
      <c r="G40" s="115">
        <v>28564</v>
      </c>
      <c r="H40" s="120" t="s">
        <v>5</v>
      </c>
      <c r="I40" s="219" t="s">
        <v>5</v>
      </c>
      <c r="J40" s="180" t="s">
        <v>5</v>
      </c>
      <c r="K40" s="120" t="s">
        <v>5</v>
      </c>
      <c r="L40" s="219" t="s">
        <v>5</v>
      </c>
      <c r="M40" s="180" t="s">
        <v>5</v>
      </c>
      <c r="N40" s="120" t="s">
        <v>5</v>
      </c>
      <c r="O40" s="219" t="s">
        <v>5</v>
      </c>
      <c r="P40" s="180" t="s">
        <v>5</v>
      </c>
      <c r="Q40" s="120" t="s">
        <v>5</v>
      </c>
      <c r="R40" s="219" t="s">
        <v>5</v>
      </c>
      <c r="S40" s="180" t="s">
        <v>5</v>
      </c>
      <c r="T40" s="196">
        <f>G40*(E40/100)</f>
        <v>1813.8140000000001</v>
      </c>
      <c r="U40" s="19" t="s">
        <v>6</v>
      </c>
      <c r="V40" s="371">
        <v>100</v>
      </c>
      <c r="W40" s="2" t="str">
        <f t="shared" si="0"/>
        <v>A</v>
      </c>
    </row>
    <row r="41" spans="1:24" s="2" customFormat="1" ht="15" customHeight="1">
      <c r="A41" s="339" t="s">
        <v>73</v>
      </c>
      <c r="B41" s="266">
        <v>1</v>
      </c>
      <c r="C41" s="19" t="s">
        <v>8</v>
      </c>
      <c r="D41" s="302" t="s">
        <v>5</v>
      </c>
      <c r="E41" s="127">
        <f>0.07*100</f>
        <v>7.0000000000000009</v>
      </c>
      <c r="F41" s="145" t="str">
        <f>"["&amp;ROUND(0.27*36900,0)&amp;"]"</f>
        <v>[9963]</v>
      </c>
      <c r="G41" s="393">
        <f>8.07*37700</f>
        <v>304239</v>
      </c>
      <c r="H41" s="175" t="s">
        <v>5</v>
      </c>
      <c r="I41" s="400" t="s">
        <v>5</v>
      </c>
      <c r="J41" s="396" t="s">
        <v>5</v>
      </c>
      <c r="K41" s="175" t="s">
        <v>5</v>
      </c>
      <c r="L41" s="400" t="s">
        <v>5</v>
      </c>
      <c r="M41" s="396" t="s">
        <v>5</v>
      </c>
      <c r="N41" s="175" t="s">
        <v>5</v>
      </c>
      <c r="O41" s="400" t="s">
        <v>5</v>
      </c>
      <c r="P41" s="396" t="s">
        <v>5</v>
      </c>
      <c r="Q41" s="175" t="s">
        <v>5</v>
      </c>
      <c r="R41" s="400" t="s">
        <v>5</v>
      </c>
      <c r="S41" s="396" t="s">
        <v>5</v>
      </c>
      <c r="T41" s="196">
        <f>ROUND(E41*G41/100,-2)</f>
        <v>21300</v>
      </c>
      <c r="U41" s="19" t="s">
        <v>18</v>
      </c>
      <c r="V41" s="374">
        <v>50</v>
      </c>
      <c r="W41" s="2" t="str">
        <f t="shared" si="0"/>
        <v>AB</v>
      </c>
      <c r="X41" s="21"/>
    </row>
    <row r="42" spans="1:24" s="2" customFormat="1" ht="15" customHeight="1">
      <c r="A42" s="235" t="s">
        <v>74</v>
      </c>
      <c r="B42" s="267">
        <v>1</v>
      </c>
      <c r="C42" s="19" t="s">
        <v>8</v>
      </c>
      <c r="D42" s="303" t="s">
        <v>5</v>
      </c>
      <c r="E42" s="127">
        <f>(0.015*100)+K42</f>
        <v>6.5500000000000007</v>
      </c>
      <c r="F42" s="145">
        <v>0</v>
      </c>
      <c r="G42" s="146">
        <v>106800</v>
      </c>
      <c r="H42" s="127">
        <f>(0.01*100)+K42</f>
        <v>6.0500000000000007</v>
      </c>
      <c r="I42" s="145">
        <f>G42</f>
        <v>106800</v>
      </c>
      <c r="J42" s="146">
        <v>267000</v>
      </c>
      <c r="K42" s="127">
        <f>0.0505*100</f>
        <v>5.0500000000000007</v>
      </c>
      <c r="L42" s="145">
        <f>J42</f>
        <v>267000</v>
      </c>
      <c r="M42" s="396" t="s">
        <v>5</v>
      </c>
      <c r="N42" s="175" t="s">
        <v>5</v>
      </c>
      <c r="O42" s="400" t="s">
        <v>5</v>
      </c>
      <c r="P42" s="396" t="s">
        <v>5</v>
      </c>
      <c r="Q42" s="175" t="s">
        <v>5</v>
      </c>
      <c r="R42" s="400" t="s">
        <v>5</v>
      </c>
      <c r="S42" s="396" t="s">
        <v>5</v>
      </c>
      <c r="T42" s="199" t="s">
        <v>5</v>
      </c>
      <c r="U42" s="28" t="s">
        <v>6</v>
      </c>
      <c r="V42" s="373">
        <v>100</v>
      </c>
      <c r="W42" s="2" t="str">
        <f t="shared" si="0"/>
        <v>A</v>
      </c>
    </row>
    <row r="43" spans="1:24" s="2" customFormat="1" ht="15" customHeight="1">
      <c r="A43" s="339" t="s">
        <v>32</v>
      </c>
      <c r="B43" s="266">
        <v>1</v>
      </c>
      <c r="C43" s="62" t="s">
        <v>8</v>
      </c>
      <c r="D43" s="302" t="s">
        <v>5</v>
      </c>
      <c r="E43" s="127">
        <v>16</v>
      </c>
      <c r="F43" s="145" t="str">
        <f>"/"&amp;ROUND(1847.1,0)&amp;"/"</f>
        <v>/1847/</v>
      </c>
      <c r="G43" s="393">
        <v>11250</v>
      </c>
      <c r="H43" s="175" t="s">
        <v>5</v>
      </c>
      <c r="I43" s="400" t="s">
        <v>5</v>
      </c>
      <c r="J43" s="396" t="s">
        <v>5</v>
      </c>
      <c r="K43" s="175" t="s">
        <v>5</v>
      </c>
      <c r="L43" s="400" t="s">
        <v>5</v>
      </c>
      <c r="M43" s="396" t="s">
        <v>5</v>
      </c>
      <c r="N43" s="175" t="s">
        <v>5</v>
      </c>
      <c r="O43" s="400" t="s">
        <v>5</v>
      </c>
      <c r="P43" s="396" t="s">
        <v>5</v>
      </c>
      <c r="Q43" s="175" t="s">
        <v>5</v>
      </c>
      <c r="R43" s="400" t="s">
        <v>5</v>
      </c>
      <c r="S43" s="396" t="s">
        <v>5</v>
      </c>
      <c r="T43" s="196">
        <f>G43*E43/100</f>
        <v>1800</v>
      </c>
      <c r="U43" s="19" t="s">
        <v>6</v>
      </c>
      <c r="V43" s="371">
        <v>100</v>
      </c>
      <c r="W43" s="2" t="str">
        <f t="shared" si="0"/>
        <v>A</v>
      </c>
    </row>
    <row r="44" spans="1:24" s="2" customFormat="1" ht="15" customHeight="1">
      <c r="A44" s="428" t="s">
        <v>47</v>
      </c>
      <c r="B44" s="431">
        <v>1</v>
      </c>
      <c r="C44" s="19" t="s">
        <v>19</v>
      </c>
      <c r="D44" s="302" t="s">
        <v>5</v>
      </c>
      <c r="E44" s="127">
        <f>0.1*100</f>
        <v>10</v>
      </c>
      <c r="F44" s="114">
        <f>4524/52</f>
        <v>87</v>
      </c>
      <c r="G44" s="115">
        <f>29900/52</f>
        <v>575</v>
      </c>
      <c r="H44" s="120" t="s">
        <v>5</v>
      </c>
      <c r="I44" s="219" t="s">
        <v>5</v>
      </c>
      <c r="J44" s="180" t="s">
        <v>5</v>
      </c>
      <c r="K44" s="120" t="s">
        <v>5</v>
      </c>
      <c r="L44" s="219" t="s">
        <v>5</v>
      </c>
      <c r="M44" s="180" t="s">
        <v>5</v>
      </c>
      <c r="N44" s="120" t="s">
        <v>5</v>
      </c>
      <c r="O44" s="219" t="s">
        <v>5</v>
      </c>
      <c r="P44" s="180" t="s">
        <v>5</v>
      </c>
      <c r="Q44" s="120" t="s">
        <v>5</v>
      </c>
      <c r="R44" s="219" t="s">
        <v>5</v>
      </c>
      <c r="S44" s="180" t="s">
        <v>5</v>
      </c>
      <c r="T44" s="196">
        <f>(G44-F44)*E44/100</f>
        <v>48.8</v>
      </c>
      <c r="U44" s="23" t="s">
        <v>5</v>
      </c>
      <c r="V44" s="374" t="s">
        <v>5</v>
      </c>
      <c r="W44" s="2" t="str">
        <f t="shared" si="0"/>
        <v/>
      </c>
    </row>
    <row r="45" spans="1:24" s="2" customFormat="1" ht="15" customHeight="1">
      <c r="A45" s="246" t="s">
        <v>20</v>
      </c>
      <c r="B45" s="269">
        <v>1</v>
      </c>
      <c r="C45" s="292" t="s">
        <v>8</v>
      </c>
      <c r="D45" s="311" t="s">
        <v>5</v>
      </c>
      <c r="E45" s="293">
        <f>(0.062*100)+H45</f>
        <v>7.65</v>
      </c>
      <c r="F45" s="147">
        <v>0</v>
      </c>
      <c r="G45" s="148">
        <v>80400</v>
      </c>
      <c r="H45" s="293">
        <f>0.0145*100</f>
        <v>1.4500000000000002</v>
      </c>
      <c r="I45" s="147">
        <f>G45</f>
        <v>80400</v>
      </c>
      <c r="J45" s="158" t="s">
        <v>5</v>
      </c>
      <c r="K45" s="480" t="s">
        <v>5</v>
      </c>
      <c r="L45" s="481" t="s">
        <v>5</v>
      </c>
      <c r="M45" s="158" t="s">
        <v>5</v>
      </c>
      <c r="N45" s="480" t="s">
        <v>5</v>
      </c>
      <c r="O45" s="481" t="s">
        <v>5</v>
      </c>
      <c r="P45" s="158" t="s">
        <v>5</v>
      </c>
      <c r="Q45" s="480" t="s">
        <v>5</v>
      </c>
      <c r="R45" s="481" t="s">
        <v>5</v>
      </c>
      <c r="S45" s="158" t="s">
        <v>5</v>
      </c>
      <c r="T45" s="445" t="s">
        <v>5</v>
      </c>
      <c r="U45" s="249" t="s">
        <v>5</v>
      </c>
      <c r="V45" s="380" t="s">
        <v>5</v>
      </c>
      <c r="W45" s="2" t="str">
        <f t="shared" si="0"/>
        <v/>
      </c>
    </row>
    <row r="46" spans="1:24" s="2" customFormat="1" ht="15" customHeight="1">
      <c r="A46" s="176"/>
      <c r="B46" s="169"/>
      <c r="C46" s="19"/>
      <c r="D46" s="132"/>
      <c r="E46" s="127"/>
      <c r="F46" s="152"/>
      <c r="G46" s="151"/>
      <c r="H46" s="151"/>
      <c r="I46" s="151"/>
      <c r="J46" s="151"/>
      <c r="K46" s="151"/>
      <c r="L46" s="151"/>
      <c r="M46" s="151"/>
      <c r="N46" s="151"/>
      <c r="O46" s="151"/>
      <c r="P46" s="151"/>
      <c r="Q46" s="151"/>
      <c r="R46" s="151"/>
      <c r="S46" s="151"/>
      <c r="T46" s="130"/>
      <c r="U46" s="54"/>
      <c r="V46" s="55"/>
      <c r="W46" s="2">
        <f t="shared" si="0"/>
        <v>0</v>
      </c>
    </row>
    <row r="47" spans="1:24" s="75" customFormat="1" ht="12.75" customHeight="1">
      <c r="A47" s="553" t="s">
        <v>94</v>
      </c>
      <c r="B47" s="553"/>
      <c r="C47" s="553"/>
      <c r="D47" s="554"/>
      <c r="E47" s="553"/>
      <c r="F47" s="553"/>
      <c r="G47" s="553"/>
      <c r="H47" s="553"/>
      <c r="I47" s="553"/>
      <c r="J47" s="553"/>
      <c r="K47" s="553"/>
      <c r="L47" s="553"/>
      <c r="M47" s="553"/>
      <c r="N47" s="553"/>
      <c r="O47" s="553"/>
      <c r="P47" s="553"/>
      <c r="Q47" s="553"/>
      <c r="R47" s="553"/>
      <c r="S47" s="553"/>
      <c r="T47" s="555"/>
      <c r="U47" s="557"/>
      <c r="V47" s="557"/>
      <c r="W47" s="2"/>
    </row>
    <row r="48" spans="1:24" s="76" customFormat="1" ht="12.75" customHeight="1">
      <c r="A48" s="558" t="s">
        <v>95</v>
      </c>
      <c r="B48" s="558"/>
      <c r="C48" s="558"/>
      <c r="D48" s="559"/>
      <c r="E48" s="558"/>
      <c r="F48" s="558"/>
      <c r="G48" s="558"/>
      <c r="H48" s="558"/>
      <c r="I48" s="558"/>
      <c r="J48" s="558"/>
      <c r="K48" s="558"/>
      <c r="L48" s="558"/>
      <c r="M48" s="558"/>
      <c r="N48" s="558"/>
      <c r="O48" s="558"/>
      <c r="P48" s="558"/>
      <c r="Q48" s="558"/>
      <c r="R48" s="558"/>
      <c r="S48" s="558"/>
      <c r="T48" s="560"/>
      <c r="U48" s="561"/>
      <c r="V48" s="561"/>
    </row>
    <row r="49" spans="1:33" s="76" customFormat="1" ht="12.75" customHeight="1">
      <c r="A49" s="558" t="s">
        <v>107</v>
      </c>
      <c r="B49" s="558"/>
      <c r="C49" s="558"/>
      <c r="D49" s="559"/>
      <c r="E49" s="558"/>
      <c r="F49" s="558"/>
      <c r="G49" s="558"/>
      <c r="H49" s="558"/>
      <c r="I49" s="558"/>
      <c r="J49" s="558"/>
      <c r="K49" s="558"/>
      <c r="L49" s="558"/>
      <c r="M49" s="558"/>
      <c r="N49" s="558"/>
      <c r="O49" s="558"/>
      <c r="P49" s="558"/>
      <c r="Q49" s="558"/>
      <c r="R49" s="558"/>
      <c r="S49" s="558"/>
      <c r="T49" s="560"/>
      <c r="U49" s="562"/>
      <c r="V49" s="562"/>
    </row>
    <row r="50" spans="1:33" s="76" customFormat="1" ht="12.75" customHeight="1">
      <c r="A50" s="539" t="s">
        <v>108</v>
      </c>
      <c r="B50" s="539"/>
      <c r="C50" s="539"/>
      <c r="D50" s="550"/>
      <c r="E50" s="550"/>
      <c r="F50" s="550"/>
      <c r="G50" s="550"/>
      <c r="H50" s="550"/>
      <c r="I50" s="550"/>
      <c r="J50" s="550"/>
      <c r="K50" s="550"/>
      <c r="L50" s="550"/>
      <c r="M50" s="550"/>
      <c r="N50" s="550"/>
      <c r="O50" s="550"/>
      <c r="P50" s="550"/>
      <c r="Q50" s="550"/>
      <c r="R50" s="550"/>
      <c r="S50" s="550"/>
      <c r="T50" s="550"/>
      <c r="U50" s="551"/>
      <c r="V50" s="551"/>
    </row>
    <row r="51" spans="1:33" s="76" customFormat="1" ht="12.75" customHeight="1">
      <c r="A51" s="516" t="s">
        <v>1</v>
      </c>
      <c r="B51" s="84" t="s">
        <v>122</v>
      </c>
      <c r="C51" s="509" t="s">
        <v>123</v>
      </c>
      <c r="D51" s="103"/>
      <c r="E51" s="103"/>
      <c r="F51" s="104"/>
      <c r="U51" s="166"/>
      <c r="V51" s="166"/>
    </row>
    <row r="52" spans="1:33" s="76" customFormat="1" ht="12.75" customHeight="1">
      <c r="A52" s="517"/>
      <c r="B52" s="85" t="s">
        <v>124</v>
      </c>
      <c r="C52" s="510" t="s">
        <v>126</v>
      </c>
      <c r="D52" s="105"/>
      <c r="E52" s="105"/>
      <c r="F52" s="106"/>
      <c r="U52" s="166"/>
      <c r="V52" s="166"/>
    </row>
    <row r="53" spans="1:33" s="76" customFormat="1" ht="12.75" customHeight="1">
      <c r="A53" s="517"/>
      <c r="B53" s="86" t="s">
        <v>125</v>
      </c>
      <c r="C53" s="511" t="s">
        <v>136</v>
      </c>
      <c r="D53" s="107"/>
      <c r="E53" s="107"/>
      <c r="F53" s="108"/>
      <c r="U53" s="83"/>
      <c r="V53" s="83"/>
    </row>
    <row r="54" spans="1:33" s="76" customFormat="1" ht="12.75" customHeight="1">
      <c r="A54" s="517"/>
      <c r="C54" s="78"/>
      <c r="D54" s="93"/>
      <c r="E54" s="93"/>
      <c r="F54" s="93"/>
      <c r="U54" s="83"/>
      <c r="V54" s="83"/>
    </row>
    <row r="55" spans="1:33" s="76" customFormat="1" ht="12.75" customHeight="1">
      <c r="A55" s="518" t="s">
        <v>127</v>
      </c>
      <c r="B55" s="84" t="s">
        <v>128</v>
      </c>
      <c r="C55" s="509" t="s">
        <v>129</v>
      </c>
      <c r="D55" s="103"/>
      <c r="E55" s="103"/>
      <c r="F55" s="104"/>
      <c r="U55" s="99"/>
      <c r="V55" s="99"/>
    </row>
    <row r="56" spans="1:33" s="76" customFormat="1" ht="12.75" customHeight="1">
      <c r="A56" s="517"/>
      <c r="B56" s="85" t="s">
        <v>130</v>
      </c>
      <c r="C56" s="510" t="s">
        <v>133</v>
      </c>
      <c r="D56" s="105"/>
      <c r="E56" s="105"/>
      <c r="F56" s="106"/>
      <c r="U56" s="83"/>
      <c r="V56" s="83"/>
    </row>
    <row r="57" spans="1:33" s="76" customFormat="1" ht="12.75" customHeight="1">
      <c r="A57" s="517"/>
      <c r="B57" s="85" t="s">
        <v>131</v>
      </c>
      <c r="C57" s="510" t="s">
        <v>132</v>
      </c>
      <c r="D57" s="105"/>
      <c r="E57" s="105"/>
      <c r="F57" s="106"/>
      <c r="U57" s="83"/>
      <c r="V57" s="83"/>
    </row>
    <row r="58" spans="1:33" s="76" customFormat="1" ht="12.75" customHeight="1">
      <c r="A58" s="517"/>
      <c r="B58" s="85" t="s">
        <v>134</v>
      </c>
      <c r="C58" s="510" t="s">
        <v>135</v>
      </c>
      <c r="D58" s="105"/>
      <c r="E58" s="105"/>
      <c r="F58" s="106"/>
      <c r="U58" s="83"/>
      <c r="V58" s="83"/>
    </row>
    <row r="59" spans="1:33" s="76" customFormat="1" ht="12.75" customHeight="1">
      <c r="A59" s="519"/>
      <c r="B59" s="86" t="s">
        <v>28</v>
      </c>
      <c r="C59" s="511" t="s">
        <v>214</v>
      </c>
      <c r="D59" s="109"/>
      <c r="E59" s="109"/>
      <c r="F59" s="110"/>
      <c r="U59" s="83"/>
      <c r="V59" s="83"/>
    </row>
    <row r="60" spans="1:33" s="76" customFormat="1" ht="12.75" customHeight="1">
      <c r="A60" s="520"/>
      <c r="B60" s="78"/>
      <c r="C60" s="78"/>
      <c r="D60" s="83"/>
      <c r="F60" s="83"/>
      <c r="G60" s="83"/>
      <c r="H60" s="83"/>
      <c r="I60" s="83"/>
      <c r="J60" s="83"/>
      <c r="K60" s="83"/>
      <c r="L60" s="83"/>
      <c r="M60" s="83"/>
      <c r="N60" s="83"/>
      <c r="O60" s="83"/>
      <c r="P60" s="83"/>
      <c r="Q60" s="83"/>
      <c r="R60" s="83"/>
      <c r="S60" s="83"/>
      <c r="T60" s="83"/>
      <c r="U60" s="83"/>
      <c r="V60" s="83"/>
    </row>
    <row r="61" spans="1:33" s="76" customFormat="1">
      <c r="A61" s="540" t="s">
        <v>96</v>
      </c>
      <c r="B61" s="540"/>
      <c r="C61" s="540"/>
      <c r="D61" s="540"/>
      <c r="E61" s="540"/>
      <c r="F61" s="540"/>
      <c r="G61" s="540"/>
      <c r="H61" s="540"/>
      <c r="I61" s="540"/>
      <c r="J61" s="540"/>
      <c r="K61" s="540"/>
      <c r="L61" s="540"/>
      <c r="M61" s="540"/>
      <c r="N61" s="540"/>
      <c r="O61" s="540"/>
      <c r="P61" s="540"/>
      <c r="Q61" s="540"/>
      <c r="R61" s="540"/>
      <c r="S61" s="540"/>
      <c r="T61" s="540"/>
      <c r="U61" s="540"/>
      <c r="V61" s="540"/>
    </row>
    <row r="62" spans="1:33" s="76" customFormat="1">
      <c r="A62" s="539" t="s">
        <v>97</v>
      </c>
      <c r="B62" s="539"/>
      <c r="C62" s="539"/>
      <c r="D62" s="539"/>
      <c r="E62" s="539"/>
      <c r="F62" s="539"/>
      <c r="G62" s="539"/>
      <c r="H62" s="539"/>
      <c r="I62" s="539"/>
      <c r="J62" s="539"/>
      <c r="K62" s="539"/>
      <c r="L62" s="539"/>
      <c r="M62" s="539"/>
      <c r="N62" s="539"/>
      <c r="O62" s="539"/>
      <c r="P62" s="539"/>
      <c r="Q62" s="539"/>
      <c r="R62" s="539"/>
      <c r="S62" s="539"/>
      <c r="T62" s="539"/>
      <c r="U62" s="539"/>
      <c r="V62" s="539"/>
    </row>
    <row r="63" spans="1:33" s="76" customFormat="1" ht="22.5" customHeight="1">
      <c r="A63" s="521" t="s">
        <v>98</v>
      </c>
      <c r="B63" s="177"/>
      <c r="C63" s="512"/>
      <c r="D63" s="177"/>
      <c r="E63" s="177"/>
      <c r="F63" s="177"/>
      <c r="G63" s="177"/>
      <c r="H63" s="177"/>
      <c r="I63" s="177"/>
      <c r="J63" s="177"/>
      <c r="K63" s="177"/>
      <c r="L63" s="177"/>
      <c r="M63" s="177"/>
      <c r="N63" s="177"/>
      <c r="O63" s="177"/>
      <c r="P63" s="177"/>
      <c r="Q63" s="177"/>
      <c r="R63" s="177"/>
      <c r="S63" s="177"/>
      <c r="T63" s="177"/>
      <c r="U63" s="177"/>
      <c r="V63" s="177"/>
    </row>
    <row r="64" spans="1:33" s="76" customFormat="1" ht="50.25" customHeight="1">
      <c r="A64" s="539" t="s">
        <v>238</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22.5" customHeight="1">
      <c r="A65" s="539" t="s">
        <v>226</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35.25" customHeight="1">
      <c r="A66" s="539" t="s">
        <v>227</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65.25" customHeight="1">
      <c r="A67" s="539" t="s">
        <v>228</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132" customHeight="1">
      <c r="A68" s="539" t="s">
        <v>229</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50.25" customHeight="1">
      <c r="A69" s="539" t="s">
        <v>230</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s="76" customFormat="1" ht="19.5" customHeight="1">
      <c r="A71" s="543" t="s">
        <v>266</v>
      </c>
      <c r="B71" s="543"/>
      <c r="C71" s="543"/>
      <c r="D71" s="543"/>
      <c r="E71" s="543"/>
      <c r="F71" s="543"/>
      <c r="G71" s="543"/>
      <c r="H71" s="543"/>
      <c r="I71" s="543"/>
      <c r="J71" s="543"/>
      <c r="K71" s="543"/>
      <c r="L71" s="543"/>
      <c r="M71" s="543"/>
      <c r="N71" s="543"/>
      <c r="O71" s="543"/>
      <c r="P71" s="543"/>
      <c r="Q71" s="543"/>
      <c r="R71" s="543"/>
      <c r="S71" s="543"/>
      <c r="T71" s="543"/>
      <c r="U71" s="543"/>
      <c r="V71" s="543"/>
    </row>
    <row r="72" spans="1:33" s="76" customFormat="1" ht="19.5" customHeight="1">
      <c r="A72" s="543" t="s">
        <v>137</v>
      </c>
      <c r="B72" s="543"/>
      <c r="C72" s="543"/>
      <c r="D72" s="543"/>
      <c r="E72" s="543"/>
      <c r="F72" s="543"/>
      <c r="G72" s="543"/>
      <c r="H72" s="543"/>
      <c r="I72" s="543"/>
      <c r="J72" s="543"/>
      <c r="K72" s="543"/>
      <c r="L72" s="543"/>
      <c r="M72" s="543"/>
      <c r="N72" s="543"/>
      <c r="O72" s="543"/>
      <c r="P72" s="543"/>
      <c r="Q72" s="543"/>
      <c r="R72" s="543"/>
      <c r="S72" s="543"/>
      <c r="T72" s="543"/>
      <c r="U72" s="543"/>
      <c r="V72" s="543"/>
    </row>
    <row r="73" spans="1:33" s="76" customFormat="1" ht="32.25" customHeight="1">
      <c r="A73" s="543" t="s">
        <v>150</v>
      </c>
      <c r="B73" s="543"/>
      <c r="C73" s="543"/>
      <c r="D73" s="543"/>
      <c r="E73" s="543"/>
      <c r="F73" s="543"/>
      <c r="G73" s="543"/>
      <c r="H73" s="543"/>
      <c r="I73" s="543"/>
      <c r="J73" s="543"/>
      <c r="K73" s="543"/>
      <c r="L73" s="543"/>
      <c r="M73" s="543"/>
      <c r="N73" s="543"/>
      <c r="O73" s="543"/>
      <c r="P73" s="543"/>
      <c r="Q73" s="543"/>
      <c r="R73" s="543"/>
      <c r="S73" s="543"/>
      <c r="T73" s="543"/>
      <c r="U73" s="543"/>
      <c r="V73" s="543"/>
    </row>
    <row r="74" spans="1:33" s="76" customFormat="1" ht="32.25" customHeight="1">
      <c r="A74" s="543" t="s">
        <v>139</v>
      </c>
      <c r="B74" s="543"/>
      <c r="C74" s="543"/>
      <c r="D74" s="543"/>
      <c r="E74" s="543"/>
      <c r="F74" s="543"/>
      <c r="G74" s="543"/>
      <c r="H74" s="543"/>
      <c r="I74" s="543"/>
      <c r="J74" s="543"/>
      <c r="K74" s="543"/>
      <c r="L74" s="543"/>
      <c r="M74" s="543"/>
      <c r="N74" s="543"/>
      <c r="O74" s="543"/>
      <c r="P74" s="543"/>
      <c r="Q74" s="543"/>
      <c r="R74" s="543"/>
      <c r="S74" s="543"/>
      <c r="T74" s="543"/>
      <c r="U74" s="543"/>
      <c r="V74" s="543"/>
    </row>
    <row r="75" spans="1:33" s="76" customFormat="1" ht="19.5" customHeight="1">
      <c r="A75" s="543" t="s">
        <v>151</v>
      </c>
      <c r="B75" s="543"/>
      <c r="C75" s="543"/>
      <c r="D75" s="543"/>
      <c r="E75" s="543"/>
      <c r="F75" s="543"/>
      <c r="G75" s="543"/>
      <c r="H75" s="543"/>
      <c r="I75" s="543"/>
      <c r="J75" s="543"/>
      <c r="K75" s="543"/>
      <c r="L75" s="543"/>
      <c r="M75" s="543"/>
      <c r="N75" s="543"/>
      <c r="O75" s="543"/>
      <c r="P75" s="543"/>
      <c r="Q75" s="543"/>
      <c r="R75" s="543"/>
      <c r="S75" s="543"/>
      <c r="T75" s="543"/>
      <c r="U75" s="543"/>
      <c r="V75" s="543"/>
    </row>
    <row r="76" spans="1:33" s="76" customFormat="1" ht="20.25" customHeight="1">
      <c r="A76" s="540" t="s">
        <v>217</v>
      </c>
      <c r="B76" s="540"/>
      <c r="C76" s="540"/>
      <c r="D76" s="540"/>
      <c r="E76" s="540"/>
      <c r="F76" s="540"/>
      <c r="G76" s="540"/>
      <c r="H76" s="540"/>
      <c r="I76" s="540"/>
      <c r="J76" s="540"/>
      <c r="K76" s="540"/>
      <c r="L76" s="540"/>
      <c r="M76" s="540"/>
      <c r="N76" s="540"/>
      <c r="O76" s="540"/>
      <c r="P76" s="540"/>
      <c r="Q76" s="540"/>
      <c r="R76" s="540"/>
      <c r="S76" s="540"/>
      <c r="T76" s="540"/>
      <c r="U76" s="540"/>
      <c r="V76" s="540"/>
    </row>
    <row r="77" spans="1:33" s="76" customFormat="1" ht="50.25" customHeight="1">
      <c r="A77" s="543" t="s">
        <v>141</v>
      </c>
      <c r="B77" s="543"/>
      <c r="C77" s="543"/>
      <c r="D77" s="543"/>
      <c r="E77" s="543"/>
      <c r="F77" s="543"/>
      <c r="G77" s="543"/>
      <c r="H77" s="543"/>
      <c r="I77" s="543"/>
      <c r="J77" s="543"/>
      <c r="K77" s="543"/>
      <c r="L77" s="543"/>
      <c r="M77" s="543"/>
      <c r="N77" s="543"/>
      <c r="O77" s="543"/>
      <c r="P77" s="543"/>
      <c r="Q77" s="543"/>
      <c r="R77" s="543"/>
      <c r="S77" s="543"/>
      <c r="T77" s="543"/>
      <c r="U77" s="543"/>
      <c r="V77" s="543"/>
    </row>
    <row r="78" spans="1:33" s="76" customFormat="1" ht="58.5" customHeight="1">
      <c r="A78" s="543" t="s">
        <v>152</v>
      </c>
      <c r="B78" s="543"/>
      <c r="C78" s="543"/>
      <c r="D78" s="543"/>
      <c r="E78" s="543"/>
      <c r="F78" s="543"/>
      <c r="G78" s="543"/>
      <c r="H78" s="543"/>
      <c r="I78" s="543"/>
      <c r="J78" s="543"/>
      <c r="K78" s="543"/>
      <c r="L78" s="543"/>
      <c r="M78" s="543"/>
      <c r="N78" s="543"/>
      <c r="O78" s="543"/>
      <c r="P78" s="543"/>
      <c r="Q78" s="543"/>
      <c r="R78" s="543"/>
      <c r="S78" s="543"/>
      <c r="T78" s="543"/>
      <c r="U78" s="543"/>
      <c r="V78" s="543"/>
    </row>
    <row r="79" spans="1:33" s="76" customFormat="1" ht="19.5" customHeight="1">
      <c r="A79" s="543" t="s">
        <v>153</v>
      </c>
      <c r="B79" s="543"/>
      <c r="C79" s="543"/>
      <c r="D79" s="543"/>
      <c r="E79" s="543"/>
      <c r="F79" s="543"/>
      <c r="G79" s="543"/>
      <c r="H79" s="543"/>
      <c r="I79" s="543"/>
      <c r="J79" s="543"/>
      <c r="K79" s="543"/>
      <c r="L79" s="543"/>
      <c r="M79" s="543"/>
      <c r="N79" s="543"/>
      <c r="O79" s="543"/>
      <c r="P79" s="543"/>
      <c r="Q79" s="543"/>
      <c r="R79" s="543"/>
      <c r="S79" s="543"/>
      <c r="T79" s="543"/>
      <c r="U79" s="543"/>
      <c r="V79" s="543"/>
    </row>
    <row r="80" spans="1:33" s="76" customFormat="1" ht="51.75" customHeight="1">
      <c r="A80" s="543" t="s">
        <v>154</v>
      </c>
      <c r="B80" s="543"/>
      <c r="C80" s="543"/>
      <c r="D80" s="543"/>
      <c r="E80" s="543"/>
      <c r="F80" s="543"/>
      <c r="G80" s="543"/>
      <c r="H80" s="543"/>
      <c r="I80" s="543"/>
      <c r="J80" s="543"/>
      <c r="K80" s="543"/>
      <c r="L80" s="543"/>
      <c r="M80" s="543"/>
      <c r="N80" s="543"/>
      <c r="O80" s="543"/>
      <c r="P80" s="543"/>
      <c r="Q80" s="543"/>
      <c r="R80" s="543"/>
      <c r="S80" s="543"/>
      <c r="T80" s="543"/>
      <c r="U80" s="543"/>
      <c r="V80" s="543"/>
    </row>
    <row r="81" spans="1:22" s="76" customFormat="1" ht="19.5" customHeight="1">
      <c r="A81" s="543" t="s">
        <v>155</v>
      </c>
      <c r="B81" s="543"/>
      <c r="C81" s="543"/>
      <c r="D81" s="543"/>
      <c r="E81" s="543"/>
      <c r="F81" s="543"/>
      <c r="G81" s="543"/>
      <c r="H81" s="543"/>
      <c r="I81" s="543"/>
      <c r="J81" s="543"/>
      <c r="K81" s="543"/>
      <c r="L81" s="543"/>
      <c r="M81" s="543"/>
      <c r="N81" s="543"/>
      <c r="O81" s="543"/>
      <c r="P81" s="543"/>
      <c r="Q81" s="543"/>
      <c r="R81" s="543"/>
      <c r="S81" s="543"/>
      <c r="T81" s="543"/>
      <c r="U81" s="543"/>
      <c r="V81" s="543"/>
    </row>
    <row r="82" spans="1:22" s="76" customFormat="1" ht="19.5" customHeight="1">
      <c r="A82" s="543" t="s">
        <v>156</v>
      </c>
      <c r="B82" s="543"/>
      <c r="C82" s="543"/>
      <c r="D82" s="543"/>
      <c r="E82" s="543"/>
      <c r="F82" s="543"/>
      <c r="G82" s="543"/>
      <c r="H82" s="543"/>
      <c r="I82" s="543"/>
      <c r="J82" s="543"/>
      <c r="K82" s="543"/>
      <c r="L82" s="543"/>
      <c r="M82" s="543"/>
      <c r="N82" s="543"/>
      <c r="O82" s="543"/>
      <c r="P82" s="543"/>
      <c r="Q82" s="543"/>
      <c r="R82" s="543"/>
      <c r="S82" s="543"/>
      <c r="T82" s="543"/>
      <c r="U82" s="543"/>
      <c r="V82" s="543"/>
    </row>
    <row r="83" spans="1:22" s="76" customFormat="1" ht="19.5" customHeight="1">
      <c r="A83" s="543" t="s">
        <v>221</v>
      </c>
      <c r="B83" s="543"/>
      <c r="C83" s="543"/>
      <c r="D83" s="543"/>
      <c r="E83" s="543"/>
      <c r="F83" s="543"/>
      <c r="G83" s="543"/>
      <c r="H83" s="543"/>
      <c r="I83" s="543"/>
      <c r="J83" s="543"/>
      <c r="K83" s="543"/>
      <c r="L83" s="543"/>
      <c r="M83" s="543"/>
      <c r="N83" s="543"/>
      <c r="O83" s="543"/>
      <c r="P83" s="543"/>
      <c r="Q83" s="543"/>
      <c r="R83" s="543"/>
      <c r="S83" s="543"/>
      <c r="T83" s="543"/>
      <c r="U83" s="543"/>
      <c r="V83" s="543"/>
    </row>
    <row r="84" spans="1:22" s="76" customFormat="1" ht="19.5" customHeight="1">
      <c r="A84" s="543" t="s">
        <v>157</v>
      </c>
      <c r="B84" s="543"/>
      <c r="C84" s="543"/>
      <c r="D84" s="543"/>
      <c r="E84" s="543"/>
      <c r="F84" s="543"/>
      <c r="G84" s="543"/>
      <c r="H84" s="543"/>
      <c r="I84" s="543"/>
      <c r="J84" s="543"/>
      <c r="K84" s="543"/>
      <c r="L84" s="543"/>
      <c r="M84" s="543"/>
      <c r="N84" s="543"/>
      <c r="O84" s="543"/>
      <c r="P84" s="543"/>
      <c r="Q84" s="543"/>
      <c r="R84" s="543"/>
      <c r="S84" s="543"/>
      <c r="T84" s="543"/>
      <c r="U84" s="543"/>
      <c r="V84" s="543"/>
    </row>
    <row r="85" spans="1:22" s="76" customFormat="1" ht="19.5" customHeight="1">
      <c r="A85" s="543" t="s">
        <v>100</v>
      </c>
      <c r="B85" s="543"/>
      <c r="C85" s="543"/>
      <c r="D85" s="543"/>
      <c r="E85" s="543"/>
      <c r="F85" s="543"/>
      <c r="G85" s="543"/>
      <c r="H85" s="543"/>
      <c r="I85" s="543"/>
      <c r="J85" s="543"/>
      <c r="K85" s="543"/>
      <c r="L85" s="543"/>
      <c r="M85" s="543"/>
      <c r="N85" s="543"/>
      <c r="O85" s="543"/>
      <c r="P85" s="543"/>
      <c r="Q85" s="543"/>
      <c r="R85" s="543"/>
      <c r="S85" s="543"/>
      <c r="T85" s="543"/>
      <c r="U85" s="543"/>
      <c r="V85" s="543"/>
    </row>
    <row r="86" spans="1:22" s="76" customFormat="1" ht="36.75" customHeight="1">
      <c r="A86" s="544" t="s">
        <v>148</v>
      </c>
      <c r="B86" s="544"/>
      <c r="C86" s="544"/>
      <c r="D86" s="544"/>
      <c r="E86" s="544"/>
      <c r="F86" s="544"/>
      <c r="G86" s="544"/>
      <c r="H86" s="544"/>
      <c r="I86" s="544"/>
      <c r="J86" s="544"/>
      <c r="K86" s="544"/>
      <c r="L86" s="544"/>
      <c r="M86" s="544"/>
      <c r="N86" s="544"/>
      <c r="O86" s="544"/>
      <c r="P86" s="544"/>
      <c r="Q86" s="544"/>
      <c r="R86" s="544"/>
      <c r="S86" s="544"/>
      <c r="T86" s="544"/>
      <c r="U86" s="544"/>
      <c r="V86" s="544"/>
    </row>
    <row r="87" spans="1:22" s="76" customFormat="1" ht="19.5" customHeight="1">
      <c r="A87" s="543" t="s">
        <v>149</v>
      </c>
      <c r="B87" s="543"/>
      <c r="C87" s="543"/>
      <c r="D87" s="543"/>
      <c r="E87" s="543"/>
      <c r="F87" s="543"/>
      <c r="G87" s="543"/>
      <c r="H87" s="543"/>
      <c r="I87" s="543"/>
      <c r="J87" s="543"/>
      <c r="K87" s="543"/>
      <c r="L87" s="543"/>
      <c r="M87" s="543"/>
      <c r="N87" s="543"/>
      <c r="O87" s="543"/>
      <c r="P87" s="543"/>
      <c r="Q87" s="543"/>
      <c r="R87" s="543"/>
      <c r="S87" s="543"/>
      <c r="T87" s="543"/>
      <c r="U87" s="543"/>
      <c r="V87" s="543"/>
    </row>
    <row r="88" spans="1:22" s="76" customFormat="1" ht="76.5" customHeight="1">
      <c r="A88" s="544" t="s">
        <v>101</v>
      </c>
      <c r="B88" s="544"/>
      <c r="C88" s="544"/>
      <c r="D88" s="544"/>
      <c r="E88" s="544"/>
      <c r="F88" s="544"/>
      <c r="G88" s="544"/>
      <c r="H88" s="544"/>
      <c r="I88" s="544"/>
      <c r="J88" s="544"/>
      <c r="K88" s="544"/>
      <c r="L88" s="544"/>
      <c r="M88" s="544"/>
      <c r="N88" s="544"/>
      <c r="O88" s="544"/>
      <c r="P88" s="544"/>
      <c r="Q88" s="544"/>
      <c r="R88" s="544"/>
      <c r="S88" s="544"/>
      <c r="T88" s="544"/>
      <c r="U88" s="544"/>
      <c r="V88" s="544"/>
    </row>
  </sheetData>
  <mergeCells count="36">
    <mergeCell ref="A47:V47"/>
    <mergeCell ref="A48:V48"/>
    <mergeCell ref="A49:V49"/>
    <mergeCell ref="A50:V50"/>
    <mergeCell ref="A70:V70"/>
    <mergeCell ref="A71:V71"/>
    <mergeCell ref="A61:V61"/>
    <mergeCell ref="A62:V62"/>
    <mergeCell ref="A64:V64"/>
    <mergeCell ref="A65:V65"/>
    <mergeCell ref="A66:V66"/>
    <mergeCell ref="A67:V67"/>
    <mergeCell ref="A68:V68"/>
    <mergeCell ref="A69:V69"/>
    <mergeCell ref="A72:V72"/>
    <mergeCell ref="A73:V73"/>
    <mergeCell ref="A74:V74"/>
    <mergeCell ref="A75:V75"/>
    <mergeCell ref="A77:V77"/>
    <mergeCell ref="A76:V76"/>
    <mergeCell ref="A78:V78"/>
    <mergeCell ref="A79:V79"/>
    <mergeCell ref="A80:V80"/>
    <mergeCell ref="A81:V81"/>
    <mergeCell ref="A82:V82"/>
    <mergeCell ref="A88:V88"/>
    <mergeCell ref="A83:V83"/>
    <mergeCell ref="A84:V84"/>
    <mergeCell ref="A85:V85"/>
    <mergeCell ref="A86:V86"/>
    <mergeCell ref="A87:V87"/>
    <mergeCell ref="F3:G3"/>
    <mergeCell ref="I3:J3"/>
    <mergeCell ref="L3:M3"/>
    <mergeCell ref="O3:P3"/>
    <mergeCell ref="R3:S3"/>
  </mergeCells>
  <phoneticPr fontId="5" type="noConversion"/>
  <pageMargins left="0.19685039370078741" right="0.19685039370078741" top="0.19685039370078741" bottom="0.19685039370078741" header="0.19685039370078741" footer="0.19685039370078741"/>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G88"/>
  <sheetViews>
    <sheetView zoomScaleNormal="100" zoomScaleSheetLayoutView="75" workbookViewId="0"/>
  </sheetViews>
  <sheetFormatPr defaultRowHeight="12.75"/>
  <cols>
    <col min="1" max="1" width="18.7109375" style="524" customWidth="1"/>
    <col min="2" max="2" width="9.5703125" style="1" bestFit="1" customWidth="1"/>
    <col min="3" max="3" width="12.7109375" style="1" customWidth="1"/>
    <col min="4" max="4" width="12.7109375" style="26" customWidth="1"/>
    <col min="5" max="5" width="8.7109375" style="37" customWidth="1"/>
    <col min="6" max="7" width="12.7109375" style="37" customWidth="1"/>
    <col min="8" max="8" width="8.7109375" style="37" customWidth="1"/>
    <col min="9" max="10" width="12.7109375" style="37" customWidth="1"/>
    <col min="11" max="11" width="8.7109375" style="37" customWidth="1"/>
    <col min="12" max="13" width="12.7109375" style="37" customWidth="1"/>
    <col min="14" max="14" width="8.7109375" style="37" customWidth="1"/>
    <col min="15" max="16" width="12.7109375" style="37" customWidth="1"/>
    <col min="17" max="17" width="8.7109375" style="37" customWidth="1"/>
    <col min="18" max="19" width="12.7109375" style="37" customWidth="1"/>
    <col min="20" max="20" width="12.7109375" style="33" customWidth="1"/>
    <col min="21" max="21" width="7.140625" style="37" bestFit="1" customWidth="1"/>
    <col min="22" max="22" width="15.42578125" style="39" customWidth="1"/>
    <col min="23" max="23" width="12.7109375" style="36" hidden="1" customWidth="1"/>
    <col min="24" max="29" width="12.7109375" style="36" customWidth="1"/>
    <col min="30" max="16384" width="9.140625" style="36"/>
  </cols>
  <sheetData>
    <row r="1" spans="1:24" s="41" customFormat="1" ht="30" customHeight="1">
      <c r="A1" s="514" t="s">
        <v>0</v>
      </c>
      <c r="B1" s="102"/>
      <c r="C1" s="508"/>
      <c r="D1" s="50"/>
      <c r="E1" s="45"/>
      <c r="F1" s="45"/>
      <c r="G1" s="45"/>
      <c r="H1" s="45"/>
      <c r="I1" s="45"/>
      <c r="J1" s="45"/>
      <c r="K1" s="45"/>
      <c r="L1" s="45"/>
      <c r="M1" s="45"/>
      <c r="N1" s="45"/>
      <c r="O1" s="45"/>
      <c r="P1" s="45"/>
      <c r="Q1" s="45"/>
      <c r="R1" s="45"/>
      <c r="S1" s="45"/>
      <c r="T1" s="49"/>
      <c r="U1" s="45"/>
      <c r="V1" s="51"/>
    </row>
    <row r="2" spans="1:24" s="43" customFormat="1" ht="30" customHeight="1">
      <c r="A2" s="514" t="s">
        <v>103</v>
      </c>
      <c r="B2" s="102"/>
      <c r="C2" s="508"/>
      <c r="D2" s="50"/>
      <c r="E2" s="45"/>
      <c r="F2" s="45"/>
      <c r="G2" s="45"/>
      <c r="H2" s="45"/>
      <c r="I2" s="45"/>
      <c r="J2" s="45"/>
      <c r="K2" s="45"/>
      <c r="L2" s="45"/>
      <c r="M2" s="45"/>
      <c r="N2" s="45"/>
      <c r="O2" s="45"/>
      <c r="P2" s="45"/>
      <c r="Q2" s="45"/>
      <c r="R2" s="45"/>
      <c r="S2" s="45"/>
      <c r="T2" s="49"/>
      <c r="U2" s="45"/>
      <c r="V2" s="51"/>
    </row>
    <row r="3" spans="1:24" s="43" customFormat="1" ht="30" customHeight="1">
      <c r="A3" s="514"/>
      <c r="B3" s="102"/>
      <c r="C3" s="508"/>
      <c r="D3" s="50"/>
      <c r="E3" s="45"/>
      <c r="F3" s="546" t="s">
        <v>248</v>
      </c>
      <c r="G3" s="547"/>
      <c r="H3" s="45"/>
      <c r="I3" s="546" t="s">
        <v>248</v>
      </c>
      <c r="J3" s="547"/>
      <c r="K3" s="45"/>
      <c r="L3" s="546" t="s">
        <v>248</v>
      </c>
      <c r="M3" s="547"/>
      <c r="N3" s="45"/>
      <c r="O3" s="546" t="s">
        <v>248</v>
      </c>
      <c r="P3" s="547"/>
      <c r="Q3" s="45"/>
      <c r="R3" s="546" t="s">
        <v>248</v>
      </c>
      <c r="S3" s="547"/>
      <c r="T3" s="49"/>
      <c r="U3" s="45"/>
      <c r="V3" s="51"/>
    </row>
    <row r="4" spans="1:24"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4" s="3" customFormat="1" ht="15" customHeight="1">
      <c r="A5" s="244" t="s">
        <v>33</v>
      </c>
      <c r="B5" s="268">
        <v>0</v>
      </c>
      <c r="C5" s="474" t="s">
        <v>250</v>
      </c>
      <c r="D5" s="463" t="s">
        <v>5</v>
      </c>
      <c r="E5" s="112" t="s">
        <v>5</v>
      </c>
      <c r="F5" s="467" t="s">
        <v>5</v>
      </c>
      <c r="G5" s="468" t="s">
        <v>5</v>
      </c>
      <c r="H5" s="113"/>
      <c r="I5" s="473"/>
      <c r="J5" s="468"/>
      <c r="K5" s="113"/>
      <c r="L5" s="473"/>
      <c r="M5" s="468"/>
      <c r="N5" s="113"/>
      <c r="O5" s="473"/>
      <c r="P5" s="468"/>
      <c r="Q5" s="113"/>
      <c r="R5" s="473"/>
      <c r="S5" s="468"/>
      <c r="T5" s="191" t="s">
        <v>5</v>
      </c>
      <c r="U5" s="111" t="s">
        <v>5</v>
      </c>
      <c r="V5" s="377" t="s">
        <v>5</v>
      </c>
      <c r="W5" s="16" t="str">
        <f>IF(U5="TY","A",IF(U5="TY/TYs","AB",IF(U5="TYs", "B",IF(U5="TC","C",IF(U5="-","",)))))</f>
        <v/>
      </c>
      <c r="X5" s="16" t="s">
        <v>4</v>
      </c>
    </row>
    <row r="6" spans="1:24" s="3" customFormat="1" ht="15" customHeight="1">
      <c r="A6" s="339" t="s">
        <v>50</v>
      </c>
      <c r="B6" s="266">
        <v>1</v>
      </c>
      <c r="C6" s="28" t="s">
        <v>7</v>
      </c>
      <c r="D6" s="306" t="s">
        <v>5</v>
      </c>
      <c r="E6" s="127">
        <f>3.95+3+10.25+(0.5+0.5)*6/7</f>
        <v>18.057142857142857</v>
      </c>
      <c r="F6" s="114" t="str">
        <f>"["&amp;289.02*14&amp;"]"</f>
        <v>[4046.28]</v>
      </c>
      <c r="G6" s="115">
        <f>3139.5*14</f>
        <v>43953</v>
      </c>
      <c r="H6" s="120" t="s">
        <v>5</v>
      </c>
      <c r="I6" s="219" t="s">
        <v>5</v>
      </c>
      <c r="J6" s="180" t="s">
        <v>5</v>
      </c>
      <c r="K6" s="120" t="s">
        <v>5</v>
      </c>
      <c r="L6" s="219" t="s">
        <v>5</v>
      </c>
      <c r="M6" s="180" t="s">
        <v>5</v>
      </c>
      <c r="N6" s="120" t="s">
        <v>5</v>
      </c>
      <c r="O6" s="219" t="s">
        <v>5</v>
      </c>
      <c r="P6" s="180" t="s">
        <v>5</v>
      </c>
      <c r="Q6" s="120" t="s">
        <v>5</v>
      </c>
      <c r="R6" s="219" t="s">
        <v>5</v>
      </c>
      <c r="S6" s="180" t="s">
        <v>5</v>
      </c>
      <c r="T6" s="192">
        <f>G6*E6/100</f>
        <v>7936.6559999999999</v>
      </c>
      <c r="U6" s="28" t="s">
        <v>6</v>
      </c>
      <c r="V6" s="373">
        <v>100</v>
      </c>
      <c r="W6" s="16" t="str">
        <f t="shared" ref="W6:W45" si="0">IF(U6="TY","A",IF(U6="TY/TYs","AB",IF(U6="TYs", "B",IF(U6="TC","C",IF(U6="-","",)))))</f>
        <v>A</v>
      </c>
      <c r="X6" s="16" t="s">
        <v>4</v>
      </c>
    </row>
    <row r="7" spans="1:24" s="3" customFormat="1" ht="15" customHeight="1">
      <c r="A7" s="339" t="s">
        <v>26</v>
      </c>
      <c r="B7" s="266">
        <v>1</v>
      </c>
      <c r="C7" s="28" t="s">
        <v>7</v>
      </c>
      <c r="D7" s="306" t="s">
        <v>5</v>
      </c>
      <c r="E7" s="127">
        <f>(0.0087+0.0115+0.0355+0.075)*100</f>
        <v>13.069999999999999</v>
      </c>
      <c r="F7" s="114" t="s">
        <v>5</v>
      </c>
      <c r="G7" s="115" t="s">
        <v>5</v>
      </c>
      <c r="H7" s="120" t="s">
        <v>5</v>
      </c>
      <c r="I7" s="219" t="s">
        <v>5</v>
      </c>
      <c r="J7" s="180" t="s">
        <v>5</v>
      </c>
      <c r="K7" s="120" t="s">
        <v>5</v>
      </c>
      <c r="L7" s="219" t="s">
        <v>5</v>
      </c>
      <c r="M7" s="180" t="s">
        <v>5</v>
      </c>
      <c r="N7" s="120" t="s">
        <v>5</v>
      </c>
      <c r="O7" s="219" t="s">
        <v>5</v>
      </c>
      <c r="P7" s="180" t="s">
        <v>5</v>
      </c>
      <c r="Q7" s="120" t="s">
        <v>5</v>
      </c>
      <c r="R7" s="219" t="s">
        <v>5</v>
      </c>
      <c r="S7" s="180" t="s">
        <v>5</v>
      </c>
      <c r="T7" s="193" t="s">
        <v>5</v>
      </c>
      <c r="U7" s="28" t="s">
        <v>6</v>
      </c>
      <c r="V7" s="373">
        <v>100</v>
      </c>
      <c r="W7" s="16" t="str">
        <f t="shared" si="0"/>
        <v>A</v>
      </c>
      <c r="X7" s="16" t="s">
        <v>4</v>
      </c>
    </row>
    <row r="8" spans="1:24" s="3" customFormat="1" ht="15" customHeight="1">
      <c r="A8" s="272" t="s">
        <v>49</v>
      </c>
      <c r="B8" s="405">
        <v>1</v>
      </c>
      <c r="C8" s="28" t="s">
        <v>8</v>
      </c>
      <c r="D8" s="306" t="s">
        <v>5</v>
      </c>
      <c r="E8" s="127">
        <f>0.024*100</f>
        <v>2.4</v>
      </c>
      <c r="F8" s="114">
        <v>0</v>
      </c>
      <c r="G8" s="115">
        <v>3500</v>
      </c>
      <c r="H8" s="127">
        <f>E8+(0.039*100)</f>
        <v>6.3</v>
      </c>
      <c r="I8" s="114">
        <f>G8</f>
        <v>3500</v>
      </c>
      <c r="J8" s="115">
        <f>(1329.9/0.039)+3500</f>
        <v>37600</v>
      </c>
      <c r="K8" s="127">
        <f>0.024*100</f>
        <v>2.4</v>
      </c>
      <c r="L8" s="114">
        <f>J8</f>
        <v>37600</v>
      </c>
      <c r="M8" s="115">
        <f>936/0.024</f>
        <v>39000</v>
      </c>
      <c r="N8" s="120" t="s">
        <v>5</v>
      </c>
      <c r="O8" s="219" t="s">
        <v>5</v>
      </c>
      <c r="P8" s="180" t="s">
        <v>5</v>
      </c>
      <c r="Q8" s="120" t="s">
        <v>5</v>
      </c>
      <c r="R8" s="219" t="s">
        <v>5</v>
      </c>
      <c r="S8" s="180" t="s">
        <v>5</v>
      </c>
      <c r="T8" s="192">
        <f>(G8-F8)*E8/100 + (J8-I8)*H8/100 + (M8-L8)*K8/100</f>
        <v>2265.9</v>
      </c>
      <c r="U8" s="28" t="s">
        <v>5</v>
      </c>
      <c r="V8" s="373" t="s">
        <v>5</v>
      </c>
      <c r="W8" s="16" t="str">
        <f t="shared" si="0"/>
        <v/>
      </c>
      <c r="X8" s="16" t="s">
        <v>4</v>
      </c>
    </row>
    <row r="9" spans="1:24" s="4" customFormat="1" ht="15" customHeight="1">
      <c r="A9" s="450" t="s">
        <v>66</v>
      </c>
      <c r="B9" s="460">
        <v>1</v>
      </c>
      <c r="C9" s="19" t="s">
        <v>7</v>
      </c>
      <c r="D9" s="303" t="s">
        <v>5</v>
      </c>
      <c r="E9" s="127">
        <f>0.07*100</f>
        <v>7.0000000000000009</v>
      </c>
      <c r="F9" s="145">
        <v>0</v>
      </c>
      <c r="G9" s="146">
        <f>11354342.4/12</f>
        <v>946195.20000000007</v>
      </c>
      <c r="H9" s="175" t="s">
        <v>5</v>
      </c>
      <c r="I9" s="400" t="s">
        <v>5</v>
      </c>
      <c r="J9" s="396" t="s">
        <v>5</v>
      </c>
      <c r="K9" s="175" t="s">
        <v>5</v>
      </c>
      <c r="L9" s="400" t="s">
        <v>5</v>
      </c>
      <c r="M9" s="396" t="s">
        <v>5</v>
      </c>
      <c r="N9" s="175" t="s">
        <v>5</v>
      </c>
      <c r="O9" s="400" t="s">
        <v>5</v>
      </c>
      <c r="P9" s="396" t="s">
        <v>5</v>
      </c>
      <c r="Q9" s="175" t="s">
        <v>5</v>
      </c>
      <c r="R9" s="400" t="s">
        <v>5</v>
      </c>
      <c r="S9" s="396" t="s">
        <v>5</v>
      </c>
      <c r="T9" s="192">
        <f>E9/100*G9</f>
        <v>66233.664000000004</v>
      </c>
      <c r="U9" s="19" t="s">
        <v>5</v>
      </c>
      <c r="V9" s="371" t="s">
        <v>5</v>
      </c>
      <c r="W9" s="16" t="str">
        <f t="shared" si="0"/>
        <v/>
      </c>
    </row>
    <row r="10" spans="1:24" s="4" customFormat="1" ht="15" customHeight="1">
      <c r="A10" s="450" t="s">
        <v>22</v>
      </c>
      <c r="B10" s="460">
        <v>1</v>
      </c>
      <c r="C10" s="28" t="s">
        <v>7</v>
      </c>
      <c r="D10" s="304" t="s">
        <v>5</v>
      </c>
      <c r="E10" s="127">
        <f>0.125*100</f>
        <v>12.5</v>
      </c>
      <c r="F10" s="319" t="s">
        <v>5</v>
      </c>
      <c r="G10" s="320" t="s">
        <v>5</v>
      </c>
      <c r="H10" s="163" t="s">
        <v>5</v>
      </c>
      <c r="I10" s="395" t="s">
        <v>5</v>
      </c>
      <c r="J10" s="472" t="s">
        <v>5</v>
      </c>
      <c r="K10" s="163" t="s">
        <v>5</v>
      </c>
      <c r="L10" s="395" t="s">
        <v>5</v>
      </c>
      <c r="M10" s="472" t="s">
        <v>5</v>
      </c>
      <c r="N10" s="163" t="s">
        <v>5</v>
      </c>
      <c r="O10" s="395" t="s">
        <v>5</v>
      </c>
      <c r="P10" s="472" t="s">
        <v>5</v>
      </c>
      <c r="Q10" s="163" t="s">
        <v>5</v>
      </c>
      <c r="R10" s="395" t="s">
        <v>5</v>
      </c>
      <c r="S10" s="472" t="s">
        <v>5</v>
      </c>
      <c r="T10" s="193" t="s">
        <v>5</v>
      </c>
      <c r="U10" s="28" t="s">
        <v>6</v>
      </c>
      <c r="V10" s="373">
        <v>100</v>
      </c>
      <c r="W10" s="16" t="str">
        <f t="shared" si="0"/>
        <v>A</v>
      </c>
    </row>
    <row r="11" spans="1:24" s="3" customFormat="1" ht="15" customHeight="1">
      <c r="A11" s="450" t="s">
        <v>67</v>
      </c>
      <c r="B11" s="460">
        <v>1</v>
      </c>
      <c r="C11" s="28" t="s">
        <v>8</v>
      </c>
      <c r="D11" s="306">
        <v>894</v>
      </c>
      <c r="E11" s="127" t="s">
        <v>5</v>
      </c>
      <c r="F11" s="319" t="s">
        <v>5</v>
      </c>
      <c r="G11" s="320" t="s">
        <v>5</v>
      </c>
      <c r="H11" s="163" t="s">
        <v>5</v>
      </c>
      <c r="I11" s="395" t="s">
        <v>5</v>
      </c>
      <c r="J11" s="472" t="s">
        <v>5</v>
      </c>
      <c r="K11" s="163" t="s">
        <v>5</v>
      </c>
      <c r="L11" s="395" t="s">
        <v>5</v>
      </c>
      <c r="M11" s="472" t="s">
        <v>5</v>
      </c>
      <c r="N11" s="163" t="s">
        <v>5</v>
      </c>
      <c r="O11" s="395" t="s">
        <v>5</v>
      </c>
      <c r="P11" s="472" t="s">
        <v>5</v>
      </c>
      <c r="Q11" s="163" t="s">
        <v>5</v>
      </c>
      <c r="R11" s="395" t="s">
        <v>5</v>
      </c>
      <c r="S11" s="472" t="s">
        <v>5</v>
      </c>
      <c r="T11" s="193" t="s">
        <v>5</v>
      </c>
      <c r="U11" s="28" t="s">
        <v>6</v>
      </c>
      <c r="V11" s="373">
        <v>100</v>
      </c>
      <c r="W11" s="16" t="str">
        <f t="shared" si="0"/>
        <v>A</v>
      </c>
      <c r="X11" s="16" t="s">
        <v>4</v>
      </c>
    </row>
    <row r="12" spans="1:24" s="4" customFormat="1" ht="15" customHeight="1">
      <c r="A12" s="450" t="s">
        <v>76</v>
      </c>
      <c r="B12" s="460">
        <v>1</v>
      </c>
      <c r="C12" s="270" t="s">
        <v>250</v>
      </c>
      <c r="D12" s="302" t="s">
        <v>5</v>
      </c>
      <c r="E12" s="127" t="s">
        <v>5</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443" t="s">
        <v>5</v>
      </c>
      <c r="V12" s="343" t="s">
        <v>5</v>
      </c>
      <c r="W12" s="16" t="str">
        <f t="shared" si="0"/>
        <v/>
      </c>
    </row>
    <row r="13" spans="1:24" s="3" customFormat="1" ht="15" customHeight="1">
      <c r="A13" s="272" t="s">
        <v>9</v>
      </c>
      <c r="B13" s="405">
        <v>1</v>
      </c>
      <c r="C13" s="28" t="s">
        <v>10</v>
      </c>
      <c r="D13" s="306" t="s">
        <v>5</v>
      </c>
      <c r="E13" s="143">
        <f>0.015*100</f>
        <v>1.5</v>
      </c>
      <c r="F13" s="319" t="s">
        <v>5</v>
      </c>
      <c r="G13" s="320" t="s">
        <v>5</v>
      </c>
      <c r="H13" s="163" t="s">
        <v>5</v>
      </c>
      <c r="I13" s="395" t="s">
        <v>5</v>
      </c>
      <c r="J13" s="472" t="s">
        <v>5</v>
      </c>
      <c r="K13" s="163" t="s">
        <v>5</v>
      </c>
      <c r="L13" s="395" t="s">
        <v>5</v>
      </c>
      <c r="M13" s="472" t="s">
        <v>5</v>
      </c>
      <c r="N13" s="163" t="s">
        <v>5</v>
      </c>
      <c r="O13" s="395" t="s">
        <v>5</v>
      </c>
      <c r="P13" s="472" t="s">
        <v>5</v>
      </c>
      <c r="Q13" s="163" t="s">
        <v>5</v>
      </c>
      <c r="R13" s="395" t="s">
        <v>5</v>
      </c>
      <c r="S13" s="472" t="s">
        <v>5</v>
      </c>
      <c r="T13" s="193" t="s">
        <v>5</v>
      </c>
      <c r="U13" s="28" t="s">
        <v>5</v>
      </c>
      <c r="V13" s="373" t="s">
        <v>5</v>
      </c>
      <c r="W13" s="16" t="str">
        <f t="shared" si="0"/>
        <v/>
      </c>
      <c r="X13" s="16" t="s">
        <v>4</v>
      </c>
    </row>
    <row r="14" spans="1:24" s="3" customFormat="1" ht="15" customHeight="1">
      <c r="A14" s="272" t="s">
        <v>9</v>
      </c>
      <c r="B14" s="405">
        <v>2</v>
      </c>
      <c r="C14" s="28" t="s">
        <v>8</v>
      </c>
      <c r="D14" s="306" t="s">
        <v>5</v>
      </c>
      <c r="E14" s="127">
        <f>0.057*100</f>
        <v>5.7</v>
      </c>
      <c r="F14" s="319" t="s">
        <v>5</v>
      </c>
      <c r="G14" s="320" t="s">
        <v>5</v>
      </c>
      <c r="H14" s="163" t="s">
        <v>5</v>
      </c>
      <c r="I14" s="395" t="s">
        <v>5</v>
      </c>
      <c r="J14" s="472" t="s">
        <v>5</v>
      </c>
      <c r="K14" s="163" t="s">
        <v>5</v>
      </c>
      <c r="L14" s="395" t="s">
        <v>5</v>
      </c>
      <c r="M14" s="472" t="s">
        <v>5</v>
      </c>
      <c r="N14" s="163" t="s">
        <v>5</v>
      </c>
      <c r="O14" s="395" t="s">
        <v>5</v>
      </c>
      <c r="P14" s="472" t="s">
        <v>5</v>
      </c>
      <c r="Q14" s="163" t="s">
        <v>5</v>
      </c>
      <c r="R14" s="395" t="s">
        <v>5</v>
      </c>
      <c r="S14" s="472" t="s">
        <v>5</v>
      </c>
      <c r="T14" s="193" t="s">
        <v>5</v>
      </c>
      <c r="U14" s="28" t="s">
        <v>6</v>
      </c>
      <c r="V14" s="373">
        <v>100</v>
      </c>
      <c r="W14" s="16" t="str">
        <f t="shared" si="0"/>
        <v>A</v>
      </c>
      <c r="X14" s="16" t="s">
        <v>4</v>
      </c>
    </row>
    <row r="15" spans="1:24" s="3" customFormat="1" ht="15" customHeight="1">
      <c r="A15" s="272" t="s">
        <v>48</v>
      </c>
      <c r="B15" s="405">
        <v>1</v>
      </c>
      <c r="C15" s="19" t="s">
        <v>8</v>
      </c>
      <c r="D15" s="303" t="s">
        <v>5</v>
      </c>
      <c r="E15" s="127">
        <f>(0.0655+0.0075+0.0301+0.03+0.001)*100</f>
        <v>13.41</v>
      </c>
      <c r="F15" s="145">
        <v>0</v>
      </c>
      <c r="G15" s="146">
        <v>26892</v>
      </c>
      <c r="H15" s="127">
        <f>(0.0075+0.036+0.05+0.001)*100</f>
        <v>9.4499999999999993</v>
      </c>
      <c r="I15" s="145">
        <f>G15</f>
        <v>26892</v>
      </c>
      <c r="J15" s="146">
        <f>G15*3</f>
        <v>80676</v>
      </c>
      <c r="K15" s="127">
        <f>(0.0075+0.036+0.001)*100</f>
        <v>4.45</v>
      </c>
      <c r="L15" s="145">
        <f>J15</f>
        <v>80676</v>
      </c>
      <c r="M15" s="146">
        <f>G15*4</f>
        <v>107568</v>
      </c>
      <c r="N15" s="127">
        <f>(0.0075+0.001)*100</f>
        <v>0.85000000000000009</v>
      </c>
      <c r="O15" s="145">
        <f>M15</f>
        <v>107568</v>
      </c>
      <c r="P15" s="396" t="s">
        <v>5</v>
      </c>
      <c r="Q15" s="175" t="s">
        <v>5</v>
      </c>
      <c r="R15" s="400" t="s">
        <v>5</v>
      </c>
      <c r="S15" s="396" t="s">
        <v>5</v>
      </c>
      <c r="T15" s="188" t="s">
        <v>5</v>
      </c>
      <c r="U15" s="28" t="s">
        <v>6</v>
      </c>
      <c r="V15" s="371">
        <f>E15*100/E15</f>
        <v>100</v>
      </c>
      <c r="W15" s="16" t="str">
        <f t="shared" si="0"/>
        <v>A</v>
      </c>
      <c r="X15" s="16" t="s">
        <v>4</v>
      </c>
    </row>
    <row r="16" spans="1:24" s="3" customFormat="1" ht="15" customHeight="1">
      <c r="A16" s="272" t="s">
        <v>54</v>
      </c>
      <c r="B16" s="405">
        <v>1</v>
      </c>
      <c r="C16" s="28" t="s">
        <v>8</v>
      </c>
      <c r="D16" s="306" t="s">
        <v>4</v>
      </c>
      <c r="E16" s="127">
        <f>(0.0965+0.0675+0.0325+0.0085)*100</f>
        <v>20.5</v>
      </c>
      <c r="F16" s="114">
        <v>0</v>
      </c>
      <c r="G16" s="115">
        <v>39573.9</v>
      </c>
      <c r="H16" s="127">
        <f>(0.0965+0.0325)*100</f>
        <v>12.9</v>
      </c>
      <c r="I16" s="114">
        <f>G16</f>
        <v>39573.9</v>
      </c>
      <c r="J16" s="115">
        <v>52765.3</v>
      </c>
      <c r="K16" s="120" t="s">
        <v>5</v>
      </c>
      <c r="L16" s="219" t="s">
        <v>5</v>
      </c>
      <c r="M16" s="180" t="s">
        <v>5</v>
      </c>
      <c r="N16" s="120" t="s">
        <v>5</v>
      </c>
      <c r="O16" s="219" t="s">
        <v>5</v>
      </c>
      <c r="P16" s="180" t="s">
        <v>5</v>
      </c>
      <c r="Q16" s="120" t="s">
        <v>5</v>
      </c>
      <c r="R16" s="219" t="s">
        <v>5</v>
      </c>
      <c r="S16" s="180" t="s">
        <v>5</v>
      </c>
      <c r="T16" s="192">
        <f xml:space="preserve"> (G16-F16)*E16/100 + (J16-I16)*H16/100</f>
        <v>9814.3401000000013</v>
      </c>
      <c r="U16" s="19" t="s">
        <v>6</v>
      </c>
      <c r="V16" s="451" t="s">
        <v>218</v>
      </c>
      <c r="W16" s="16" t="str">
        <f t="shared" si="0"/>
        <v>A</v>
      </c>
      <c r="X16" s="16" t="s">
        <v>4</v>
      </c>
    </row>
    <row r="17" spans="1:24" s="3" customFormat="1" ht="15" customHeight="1">
      <c r="A17" s="272" t="s">
        <v>11</v>
      </c>
      <c r="B17" s="405">
        <v>1</v>
      </c>
      <c r="C17" s="19" t="s">
        <v>7</v>
      </c>
      <c r="D17" s="306" t="s">
        <v>5</v>
      </c>
      <c r="E17" s="127">
        <f>0.159*100</f>
        <v>15.9</v>
      </c>
      <c r="F17" s="145">
        <v>0</v>
      </c>
      <c r="G17" s="146">
        <f>23223.77/14</f>
        <v>1658.8407142857143</v>
      </c>
      <c r="H17" s="175" t="s">
        <v>5</v>
      </c>
      <c r="I17" s="400" t="s">
        <v>5</v>
      </c>
      <c r="J17" s="396" t="s">
        <v>5</v>
      </c>
      <c r="K17" s="175" t="s">
        <v>5</v>
      </c>
      <c r="L17" s="400" t="s">
        <v>5</v>
      </c>
      <c r="M17" s="396" t="s">
        <v>5</v>
      </c>
      <c r="N17" s="175" t="s">
        <v>5</v>
      </c>
      <c r="O17" s="400" t="s">
        <v>5</v>
      </c>
      <c r="P17" s="396" t="s">
        <v>5</v>
      </c>
      <c r="Q17" s="175" t="s">
        <v>5</v>
      </c>
      <c r="R17" s="400" t="s">
        <v>5</v>
      </c>
      <c r="S17" s="396" t="s">
        <v>5</v>
      </c>
      <c r="T17" s="192">
        <f>G17*E17/100</f>
        <v>263.75567357142859</v>
      </c>
      <c r="U17" s="19" t="s">
        <v>6</v>
      </c>
      <c r="V17" s="371">
        <v>100</v>
      </c>
      <c r="W17" s="16" t="str">
        <f t="shared" si="0"/>
        <v>A</v>
      </c>
      <c r="X17" s="16" t="s">
        <v>4</v>
      </c>
    </row>
    <row r="18" spans="1:24" s="3" customFormat="1" ht="15" customHeight="1">
      <c r="A18" s="272" t="s">
        <v>12</v>
      </c>
      <c r="B18" s="405">
        <v>1</v>
      </c>
      <c r="C18" s="28" t="s">
        <v>8</v>
      </c>
      <c r="D18" s="306" t="s">
        <v>5</v>
      </c>
      <c r="E18" s="127">
        <f>0.08*100</f>
        <v>8</v>
      </c>
      <c r="F18" s="319">
        <v>0</v>
      </c>
      <c r="G18" s="320">
        <v>2020320</v>
      </c>
      <c r="H18" s="163" t="s">
        <v>5</v>
      </c>
      <c r="I18" s="395" t="s">
        <v>5</v>
      </c>
      <c r="J18" s="472" t="s">
        <v>5</v>
      </c>
      <c r="K18" s="163" t="s">
        <v>5</v>
      </c>
      <c r="L18" s="395" t="s">
        <v>5</v>
      </c>
      <c r="M18" s="472" t="s">
        <v>5</v>
      </c>
      <c r="N18" s="163" t="s">
        <v>5</v>
      </c>
      <c r="O18" s="395" t="s">
        <v>5</v>
      </c>
      <c r="P18" s="472" t="s">
        <v>5</v>
      </c>
      <c r="Q18" s="163" t="s">
        <v>5</v>
      </c>
      <c r="R18" s="395" t="s">
        <v>5</v>
      </c>
      <c r="S18" s="472" t="s">
        <v>5</v>
      </c>
      <c r="T18" s="192">
        <f>(G18-F18)*E18/100</f>
        <v>161625.60000000001</v>
      </c>
      <c r="U18" s="28" t="s">
        <v>28</v>
      </c>
      <c r="V18" s="373">
        <v>25</v>
      </c>
      <c r="W18" s="16" t="str">
        <f t="shared" si="0"/>
        <v>C</v>
      </c>
      <c r="X18" s="16" t="s">
        <v>4</v>
      </c>
    </row>
    <row r="19" spans="1:24" s="3" customFormat="1" ht="15" customHeight="1">
      <c r="A19" s="272" t="s">
        <v>12</v>
      </c>
      <c r="B19" s="405">
        <v>2</v>
      </c>
      <c r="C19" s="28" t="s">
        <v>8</v>
      </c>
      <c r="D19" s="464" t="s">
        <v>5</v>
      </c>
      <c r="E19" s="127">
        <f>(0.03+0.015)*100</f>
        <v>4.5</v>
      </c>
      <c r="F19" s="469" t="s">
        <v>5</v>
      </c>
      <c r="G19" s="470" t="s">
        <v>5</v>
      </c>
      <c r="H19" s="66" t="s">
        <v>5</v>
      </c>
      <c r="I19" s="490" t="s">
        <v>5</v>
      </c>
      <c r="J19" s="491" t="s">
        <v>5</v>
      </c>
      <c r="K19" s="66" t="s">
        <v>5</v>
      </c>
      <c r="L19" s="490" t="s">
        <v>5</v>
      </c>
      <c r="M19" s="491" t="s">
        <v>5</v>
      </c>
      <c r="N19" s="66" t="s">
        <v>5</v>
      </c>
      <c r="O19" s="490" t="s">
        <v>5</v>
      </c>
      <c r="P19" s="491" t="s">
        <v>5</v>
      </c>
      <c r="Q19" s="66" t="s">
        <v>5</v>
      </c>
      <c r="R19" s="490" t="s">
        <v>5</v>
      </c>
      <c r="S19" s="491" t="s">
        <v>5</v>
      </c>
      <c r="T19" s="194" t="s">
        <v>5</v>
      </c>
      <c r="U19" s="20" t="s">
        <v>5</v>
      </c>
      <c r="V19" s="452" t="s">
        <v>5</v>
      </c>
      <c r="W19" s="16" t="str">
        <f t="shared" si="0"/>
        <v/>
      </c>
      <c r="X19" s="16" t="s">
        <v>4</v>
      </c>
    </row>
    <row r="20" spans="1:24" s="3" customFormat="1" ht="15" customHeight="1">
      <c r="A20" s="450" t="s">
        <v>68</v>
      </c>
      <c r="B20" s="460">
        <v>1</v>
      </c>
      <c r="C20" s="28" t="s">
        <v>6</v>
      </c>
      <c r="D20" s="306">
        <v>4065</v>
      </c>
      <c r="E20" s="127" t="s">
        <v>5</v>
      </c>
      <c r="F20" s="319">
        <v>761861</v>
      </c>
      <c r="G20" s="320" t="s">
        <v>5</v>
      </c>
      <c r="H20" s="163" t="s">
        <v>5</v>
      </c>
      <c r="I20" s="395" t="s">
        <v>5</v>
      </c>
      <c r="J20" s="472" t="s">
        <v>5</v>
      </c>
      <c r="K20" s="163" t="s">
        <v>5</v>
      </c>
      <c r="L20" s="395" t="s">
        <v>5</v>
      </c>
      <c r="M20" s="472" t="s">
        <v>5</v>
      </c>
      <c r="N20" s="163" t="s">
        <v>5</v>
      </c>
      <c r="O20" s="395" t="s">
        <v>5</v>
      </c>
      <c r="P20" s="472" t="s">
        <v>5</v>
      </c>
      <c r="Q20" s="163" t="s">
        <v>5</v>
      </c>
      <c r="R20" s="395" t="s">
        <v>5</v>
      </c>
      <c r="S20" s="472" t="s">
        <v>5</v>
      </c>
      <c r="T20" s="193" t="s">
        <v>5</v>
      </c>
      <c r="U20" s="7" t="s">
        <v>5</v>
      </c>
      <c r="V20" s="376" t="s">
        <v>5</v>
      </c>
      <c r="W20" s="16" t="str">
        <f t="shared" si="0"/>
        <v/>
      </c>
      <c r="X20" s="16" t="s">
        <v>4</v>
      </c>
    </row>
    <row r="21" spans="1:24" s="3" customFormat="1" ht="15" customHeight="1">
      <c r="A21" s="450" t="s">
        <v>68</v>
      </c>
      <c r="B21" s="405">
        <v>2</v>
      </c>
      <c r="C21" s="28" t="s">
        <v>8</v>
      </c>
      <c r="D21" s="302" t="s">
        <v>5</v>
      </c>
      <c r="E21" s="127">
        <v>8</v>
      </c>
      <c r="F21" s="394" t="s">
        <v>5</v>
      </c>
      <c r="G21" s="471" t="s">
        <v>5</v>
      </c>
      <c r="H21" s="163" t="s">
        <v>5</v>
      </c>
      <c r="I21" s="395" t="s">
        <v>5</v>
      </c>
      <c r="J21" s="472" t="s">
        <v>5</v>
      </c>
      <c r="K21" s="163" t="s">
        <v>5</v>
      </c>
      <c r="L21" s="395" t="s">
        <v>5</v>
      </c>
      <c r="M21" s="472" t="s">
        <v>5</v>
      </c>
      <c r="N21" s="163" t="s">
        <v>5</v>
      </c>
      <c r="O21" s="395" t="s">
        <v>5</v>
      </c>
      <c r="P21" s="472" t="s">
        <v>5</v>
      </c>
      <c r="Q21" s="163" t="s">
        <v>5</v>
      </c>
      <c r="R21" s="395" t="s">
        <v>5</v>
      </c>
      <c r="S21" s="472" t="s">
        <v>5</v>
      </c>
      <c r="T21" s="195" t="s">
        <v>5</v>
      </c>
      <c r="U21" s="28" t="s">
        <v>6</v>
      </c>
      <c r="V21" s="373">
        <v>100</v>
      </c>
      <c r="W21" s="16" t="str">
        <f t="shared" si="0"/>
        <v>A</v>
      </c>
      <c r="X21" s="16"/>
    </row>
    <row r="22" spans="1:24" s="3" customFormat="1" ht="15" customHeight="1">
      <c r="A22" s="272" t="s">
        <v>92</v>
      </c>
      <c r="B22" s="405">
        <v>1</v>
      </c>
      <c r="C22" s="28" t="s">
        <v>8</v>
      </c>
      <c r="D22" s="306" t="s">
        <v>4</v>
      </c>
      <c r="E22" s="127">
        <f>0.02*100</f>
        <v>2</v>
      </c>
      <c r="F22" s="319">
        <v>18487</v>
      </c>
      <c r="G22" s="472" t="s">
        <v>5</v>
      </c>
      <c r="H22" s="163" t="s">
        <v>5</v>
      </c>
      <c r="I22" s="395" t="s">
        <v>5</v>
      </c>
      <c r="J22" s="472" t="s">
        <v>5</v>
      </c>
      <c r="K22" s="163" t="s">
        <v>5</v>
      </c>
      <c r="L22" s="395" t="s">
        <v>5</v>
      </c>
      <c r="M22" s="472" t="s">
        <v>5</v>
      </c>
      <c r="N22" s="163" t="s">
        <v>5</v>
      </c>
      <c r="O22" s="395" t="s">
        <v>5</v>
      </c>
      <c r="P22" s="472" t="s">
        <v>5</v>
      </c>
      <c r="Q22" s="163" t="s">
        <v>5</v>
      </c>
      <c r="R22" s="395" t="s">
        <v>5</v>
      </c>
      <c r="S22" s="472" t="s">
        <v>5</v>
      </c>
      <c r="T22" s="195" t="s">
        <v>5</v>
      </c>
      <c r="U22" s="195" t="s">
        <v>5</v>
      </c>
      <c r="V22" s="195" t="s">
        <v>5</v>
      </c>
      <c r="W22" s="16" t="str">
        <f t="shared" si="0"/>
        <v/>
      </c>
      <c r="X22" s="16" t="s">
        <v>4</v>
      </c>
    </row>
    <row r="23" spans="1:24" s="3" customFormat="1" ht="15" customHeight="1">
      <c r="A23" s="272" t="s">
        <v>92</v>
      </c>
      <c r="B23" s="405">
        <v>2</v>
      </c>
      <c r="C23" s="28" t="str">
        <f>C22</f>
        <v>AGE</v>
      </c>
      <c r="D23" s="306" t="s">
        <v>5</v>
      </c>
      <c r="E23" s="127">
        <f>0.045*100</f>
        <v>4.5</v>
      </c>
      <c r="F23" s="224" t="s">
        <v>81</v>
      </c>
      <c r="G23" s="320">
        <v>33648</v>
      </c>
      <c r="H23" s="163" t="s">
        <v>5</v>
      </c>
      <c r="I23" s="395" t="s">
        <v>5</v>
      </c>
      <c r="J23" s="472" t="s">
        <v>5</v>
      </c>
      <c r="K23" s="163" t="s">
        <v>5</v>
      </c>
      <c r="L23" s="395" t="s">
        <v>5</v>
      </c>
      <c r="M23" s="472" t="s">
        <v>5</v>
      </c>
      <c r="N23" s="163" t="s">
        <v>5</v>
      </c>
      <c r="O23" s="395" t="s">
        <v>5</v>
      </c>
      <c r="P23" s="472" t="s">
        <v>5</v>
      </c>
      <c r="Q23" s="163" t="s">
        <v>5</v>
      </c>
      <c r="R23" s="395" t="s">
        <v>5</v>
      </c>
      <c r="S23" s="472" t="s">
        <v>5</v>
      </c>
      <c r="T23" s="192">
        <f>E23*G23/100</f>
        <v>1514.16</v>
      </c>
      <c r="U23" s="28" t="s">
        <v>5</v>
      </c>
      <c r="V23" s="373" t="s">
        <v>5</v>
      </c>
      <c r="W23" s="16" t="str">
        <f t="shared" si="0"/>
        <v/>
      </c>
      <c r="X23" s="16" t="s">
        <v>4</v>
      </c>
    </row>
    <row r="24" spans="1:24" s="4" customFormat="1" ht="15" customHeight="1">
      <c r="A24" s="450" t="s">
        <v>69</v>
      </c>
      <c r="B24" s="460">
        <v>1</v>
      </c>
      <c r="C24" s="19" t="s">
        <v>7</v>
      </c>
      <c r="D24" s="303" t="s">
        <v>5</v>
      </c>
      <c r="E24" s="127">
        <f>0.0576*100</f>
        <v>5.76</v>
      </c>
      <c r="F24" s="145">
        <v>0</v>
      </c>
      <c r="G24" s="146">
        <f>38088/12</f>
        <v>3174</v>
      </c>
      <c r="H24" s="127">
        <f>0.097*100</f>
        <v>9.7000000000000011</v>
      </c>
      <c r="I24" s="145">
        <f>G24</f>
        <v>3174</v>
      </c>
      <c r="J24" s="146">
        <f>380820/12</f>
        <v>31735</v>
      </c>
      <c r="K24" s="175" t="s">
        <v>5</v>
      </c>
      <c r="L24" s="400" t="s">
        <v>5</v>
      </c>
      <c r="M24" s="396" t="s">
        <v>5</v>
      </c>
      <c r="N24" s="175" t="s">
        <v>5</v>
      </c>
      <c r="O24" s="400" t="s">
        <v>5</v>
      </c>
      <c r="P24" s="396" t="s">
        <v>5</v>
      </c>
      <c r="Q24" s="175" t="s">
        <v>5</v>
      </c>
      <c r="R24" s="400" t="s">
        <v>5</v>
      </c>
      <c r="S24" s="396" t="s">
        <v>5</v>
      </c>
      <c r="T24" s="192">
        <f>+E24/100*G24+H24/100*(J24-I24)</f>
        <v>2953.2394000000004</v>
      </c>
      <c r="U24" s="67" t="s">
        <v>5</v>
      </c>
      <c r="V24" s="372" t="s">
        <v>5</v>
      </c>
      <c r="W24" s="16" t="str">
        <f t="shared" si="0"/>
        <v/>
      </c>
    </row>
    <row r="25" spans="1:24" s="3" customFormat="1" ht="15" customHeight="1">
      <c r="A25" s="272" t="s">
        <v>13</v>
      </c>
      <c r="B25" s="405">
        <v>1</v>
      </c>
      <c r="C25" s="28" t="s">
        <v>8</v>
      </c>
      <c r="D25" s="306" t="s">
        <v>4</v>
      </c>
      <c r="E25" s="127">
        <f>0.0919*100</f>
        <v>9.19</v>
      </c>
      <c r="F25" s="114">
        <v>0</v>
      </c>
      <c r="G25" s="115">
        <v>34253.487375211102</v>
      </c>
      <c r="H25" s="127">
        <f>0.1019*100</f>
        <v>10.190000000000001</v>
      </c>
      <c r="I25" s="114">
        <f>G25</f>
        <v>34253.487375211102</v>
      </c>
      <c r="J25" s="115">
        <v>74505.6216333466</v>
      </c>
      <c r="K25" s="120" t="s">
        <v>5</v>
      </c>
      <c r="L25" s="219" t="s">
        <v>5</v>
      </c>
      <c r="M25" s="180" t="s">
        <v>5</v>
      </c>
      <c r="N25" s="120" t="s">
        <v>5</v>
      </c>
      <c r="O25" s="219" t="s">
        <v>5</v>
      </c>
      <c r="P25" s="180" t="s">
        <v>5</v>
      </c>
      <c r="Q25" s="120" t="s">
        <v>5</v>
      </c>
      <c r="R25" s="219" t="s">
        <v>5</v>
      </c>
      <c r="S25" s="180" t="s">
        <v>5</v>
      </c>
      <c r="T25" s="192">
        <f>((E25/100)*G25)+(H25/100)*(J25-I25)</f>
        <v>7249.5879706859087</v>
      </c>
      <c r="U25" s="28" t="s">
        <v>6</v>
      </c>
      <c r="V25" s="373">
        <v>100</v>
      </c>
      <c r="W25" s="16" t="str">
        <f t="shared" si="0"/>
        <v>A</v>
      </c>
      <c r="X25" s="16" t="s">
        <v>4</v>
      </c>
    </row>
    <row r="26" spans="1:24" s="3" customFormat="1" ht="15" customHeight="1">
      <c r="A26" s="272" t="s">
        <v>14</v>
      </c>
      <c r="B26" s="405">
        <v>1</v>
      </c>
      <c r="C26" s="407" t="s">
        <v>7</v>
      </c>
      <c r="D26" s="306" t="s">
        <v>5</v>
      </c>
      <c r="E26" s="127">
        <f>8.675+H26</f>
        <v>13.325000000000001</v>
      </c>
      <c r="F26" s="394">
        <v>0</v>
      </c>
      <c r="G26" s="320">
        <f>7080000/12</f>
        <v>590000</v>
      </c>
      <c r="H26" s="127">
        <f>4.25+K26</f>
        <v>4.6500000000000004</v>
      </c>
      <c r="I26" s="394">
        <f>G26</f>
        <v>590000</v>
      </c>
      <c r="J26" s="320">
        <f>11760000/12</f>
        <v>980000</v>
      </c>
      <c r="K26" s="127">
        <v>0.4</v>
      </c>
      <c r="L26" s="394">
        <f>J26</f>
        <v>980000</v>
      </c>
      <c r="M26" s="471" t="s">
        <v>5</v>
      </c>
      <c r="N26" s="163" t="s">
        <v>5</v>
      </c>
      <c r="O26" s="395" t="s">
        <v>5</v>
      </c>
      <c r="P26" s="472" t="s">
        <v>5</v>
      </c>
      <c r="Q26" s="163" t="s">
        <v>5</v>
      </c>
      <c r="R26" s="395" t="s">
        <v>5</v>
      </c>
      <c r="S26" s="472" t="s">
        <v>5</v>
      </c>
      <c r="T26" s="203" t="s">
        <v>5</v>
      </c>
      <c r="U26" s="19" t="s">
        <v>6</v>
      </c>
      <c r="V26" s="371">
        <v>100</v>
      </c>
      <c r="W26" s="16" t="str">
        <f t="shared" si="0"/>
        <v>A</v>
      </c>
      <c r="X26" s="16" t="s">
        <v>4</v>
      </c>
    </row>
    <row r="27" spans="1:24" s="3" customFormat="1" ht="15" customHeight="1">
      <c r="A27" s="272" t="s">
        <v>15</v>
      </c>
      <c r="B27" s="405">
        <v>1</v>
      </c>
      <c r="C27" s="19" t="s">
        <v>7</v>
      </c>
      <c r="D27" s="306" t="s">
        <v>5</v>
      </c>
      <c r="E27" s="127">
        <f>(0.045+0.017+0.005)*100</f>
        <v>6.7</v>
      </c>
      <c r="F27" s="392" t="s">
        <v>5</v>
      </c>
      <c r="G27" s="396" t="s">
        <v>5</v>
      </c>
      <c r="H27" s="175" t="s">
        <v>5</v>
      </c>
      <c r="I27" s="400" t="s">
        <v>5</v>
      </c>
      <c r="J27" s="396" t="s">
        <v>5</v>
      </c>
      <c r="K27" s="175" t="s">
        <v>5</v>
      </c>
      <c r="L27" s="400" t="s">
        <v>5</v>
      </c>
      <c r="M27" s="396" t="s">
        <v>5</v>
      </c>
      <c r="N27" s="175" t="s">
        <v>5</v>
      </c>
      <c r="O27" s="400" t="s">
        <v>5</v>
      </c>
      <c r="P27" s="396" t="s">
        <v>5</v>
      </c>
      <c r="Q27" s="175" t="s">
        <v>5</v>
      </c>
      <c r="R27" s="400" t="s">
        <v>5</v>
      </c>
      <c r="S27" s="396" t="s">
        <v>5</v>
      </c>
      <c r="T27" s="203" t="s">
        <v>5</v>
      </c>
      <c r="U27" s="407" t="s">
        <v>6</v>
      </c>
      <c r="V27" s="418">
        <v>100</v>
      </c>
      <c r="W27" s="16" t="str">
        <f t="shared" si="0"/>
        <v>A</v>
      </c>
      <c r="X27" s="16" t="s">
        <v>4</v>
      </c>
    </row>
    <row r="28" spans="1:24" s="40" customFormat="1">
      <c r="A28" s="513" t="s">
        <v>282</v>
      </c>
      <c r="B28" s="500">
        <v>1</v>
      </c>
      <c r="C28" s="30" t="s">
        <v>8</v>
      </c>
      <c r="D28" s="502" t="s">
        <v>5</v>
      </c>
      <c r="E28" s="503">
        <v>9</v>
      </c>
      <c r="F28" s="400">
        <v>0</v>
      </c>
      <c r="G28" s="396">
        <v>21343</v>
      </c>
      <c r="H28" s="501"/>
      <c r="I28" s="504"/>
      <c r="J28" s="505"/>
      <c r="K28" s="501"/>
      <c r="L28" s="504"/>
      <c r="M28" s="505"/>
      <c r="N28" s="506"/>
      <c r="O28" s="504"/>
      <c r="P28" s="505"/>
      <c r="Q28" s="506"/>
      <c r="R28" s="504"/>
      <c r="S28" s="505"/>
      <c r="T28" s="507">
        <f>(E28/100)*G28</f>
        <v>1920.87</v>
      </c>
      <c r="U28" s="62" t="s">
        <v>6</v>
      </c>
      <c r="V28" s="375">
        <v>101</v>
      </c>
      <c r="W28" s="30" t="s">
        <v>283</v>
      </c>
    </row>
    <row r="29" spans="1:24" s="3" customFormat="1" ht="15" customHeight="1">
      <c r="A29" s="272" t="s">
        <v>70</v>
      </c>
      <c r="B29" s="405">
        <v>1</v>
      </c>
      <c r="C29" s="19" t="s">
        <v>8</v>
      </c>
      <c r="D29" s="306" t="s">
        <v>5</v>
      </c>
      <c r="E29" s="127">
        <f>0.1072*100</f>
        <v>10.72</v>
      </c>
      <c r="F29" s="145">
        <v>0</v>
      </c>
      <c r="G29" s="146">
        <v>71467.405700000003</v>
      </c>
      <c r="H29" s="175" t="s">
        <v>5</v>
      </c>
      <c r="I29" s="400" t="s">
        <v>5</v>
      </c>
      <c r="J29" s="396" t="s">
        <v>5</v>
      </c>
      <c r="K29" s="175" t="s">
        <v>5</v>
      </c>
      <c r="L29" s="400" t="s">
        <v>5</v>
      </c>
      <c r="M29" s="396" t="s">
        <v>5</v>
      </c>
      <c r="N29" s="175" t="s">
        <v>5</v>
      </c>
      <c r="O29" s="400" t="s">
        <v>5</v>
      </c>
      <c r="P29" s="396" t="s">
        <v>5</v>
      </c>
      <c r="Q29" s="175" t="s">
        <v>5</v>
      </c>
      <c r="R29" s="400" t="s">
        <v>5</v>
      </c>
      <c r="S29" s="396" t="s">
        <v>5</v>
      </c>
      <c r="T29" s="192">
        <f>G29*E29/100</f>
        <v>7661.3058910400014</v>
      </c>
      <c r="U29" s="28" t="s">
        <v>6</v>
      </c>
      <c r="V29" s="373">
        <v>100</v>
      </c>
      <c r="W29" s="16" t="str">
        <f t="shared" si="0"/>
        <v>A</v>
      </c>
      <c r="X29" s="16" t="s">
        <v>4</v>
      </c>
    </row>
    <row r="30" spans="1:24" s="3" customFormat="1" ht="15" customHeight="1">
      <c r="A30" s="272" t="s">
        <v>70</v>
      </c>
      <c r="B30" s="405">
        <v>2</v>
      </c>
      <c r="C30" s="19" t="s">
        <v>8</v>
      </c>
      <c r="D30" s="306" t="s">
        <v>5</v>
      </c>
      <c r="E30" s="127">
        <f>0.01*100</f>
        <v>1</v>
      </c>
      <c r="F30" s="145">
        <f>0.25*14472.04</f>
        <v>3618.01</v>
      </c>
      <c r="G30" s="180" t="s">
        <v>5</v>
      </c>
      <c r="H30" s="120" t="s">
        <v>5</v>
      </c>
      <c r="I30" s="219" t="s">
        <v>5</v>
      </c>
      <c r="J30" s="180" t="s">
        <v>5</v>
      </c>
      <c r="K30" s="120" t="s">
        <v>5</v>
      </c>
      <c r="L30" s="219" t="s">
        <v>5</v>
      </c>
      <c r="M30" s="180" t="s">
        <v>5</v>
      </c>
      <c r="N30" s="120" t="s">
        <v>5</v>
      </c>
      <c r="O30" s="219" t="s">
        <v>5</v>
      </c>
      <c r="P30" s="180" t="s">
        <v>5</v>
      </c>
      <c r="Q30" s="120" t="s">
        <v>5</v>
      </c>
      <c r="R30" s="219" t="s">
        <v>5</v>
      </c>
      <c r="S30" s="180" t="s">
        <v>5</v>
      </c>
      <c r="T30" s="193" t="s">
        <v>5</v>
      </c>
      <c r="U30" s="7" t="s">
        <v>5</v>
      </c>
      <c r="V30" s="376" t="s">
        <v>5</v>
      </c>
      <c r="W30" s="16" t="str">
        <f t="shared" si="0"/>
        <v/>
      </c>
      <c r="X30" s="16" t="s">
        <v>4</v>
      </c>
    </row>
    <row r="31" spans="1:24" s="2" customFormat="1" ht="15" customHeight="1">
      <c r="A31" s="450" t="s">
        <v>71</v>
      </c>
      <c r="B31" s="460">
        <v>1</v>
      </c>
      <c r="C31" s="19" t="s">
        <v>7</v>
      </c>
      <c r="D31" s="386" t="s">
        <v>5</v>
      </c>
      <c r="E31" s="127">
        <f>0.625+0.625</f>
        <v>1.25</v>
      </c>
      <c r="F31" s="145">
        <v>0</v>
      </c>
      <c r="G31" s="146">
        <f>3*37.9*(365/12)</f>
        <v>3458.375</v>
      </c>
      <c r="H31" s="127">
        <f>E31+1.68</f>
        <v>2.9299999999999997</v>
      </c>
      <c r="I31" s="145">
        <f>G31</f>
        <v>3458.375</v>
      </c>
      <c r="J31" s="146">
        <f>17*37.9*(365/12)</f>
        <v>19597.458333333332</v>
      </c>
      <c r="K31" s="127">
        <f>0.625+1.68</f>
        <v>2.3049999999999997</v>
      </c>
      <c r="L31" s="145">
        <f>J31</f>
        <v>19597.458333333332</v>
      </c>
      <c r="M31" s="146">
        <f>25*37.9*(365/12)</f>
        <v>28819.791666666668</v>
      </c>
      <c r="N31" s="175" t="s">
        <v>5</v>
      </c>
      <c r="O31" s="400" t="s">
        <v>5</v>
      </c>
      <c r="P31" s="396" t="s">
        <v>5</v>
      </c>
      <c r="Q31" s="175" t="s">
        <v>5</v>
      </c>
      <c r="R31" s="400" t="s">
        <v>5</v>
      </c>
      <c r="S31" s="396" t="s">
        <v>5</v>
      </c>
      <c r="T31" s="202">
        <f>($E$31/100*$G$31)+($H$31/100*($J$31-$I$31))+($K$31/100*($M$31-$L$31))</f>
        <v>728.67961249999996</v>
      </c>
      <c r="U31" s="335" t="s">
        <v>5</v>
      </c>
      <c r="V31" s="343" t="s">
        <v>5</v>
      </c>
      <c r="W31" s="16" t="str">
        <f t="shared" si="0"/>
        <v/>
      </c>
    </row>
    <row r="32" spans="1:24" s="3" customFormat="1" ht="15" customHeight="1">
      <c r="A32" s="272" t="s">
        <v>60</v>
      </c>
      <c r="B32" s="405">
        <v>1</v>
      </c>
      <c r="C32" s="28" t="s">
        <v>6</v>
      </c>
      <c r="D32" s="306" t="s">
        <v>5</v>
      </c>
      <c r="E32" s="127">
        <f>(0.179+0.0125+0.1025)*100</f>
        <v>29.4</v>
      </c>
      <c r="F32" s="114">
        <v>0</v>
      </c>
      <c r="G32" s="115">
        <v>22232.51</v>
      </c>
      <c r="H32" s="120" t="s">
        <v>5</v>
      </c>
      <c r="I32" s="219" t="s">
        <v>5</v>
      </c>
      <c r="J32" s="180" t="s">
        <v>5</v>
      </c>
      <c r="K32" s="120" t="s">
        <v>5</v>
      </c>
      <c r="L32" s="219" t="s">
        <v>5</v>
      </c>
      <c r="M32" s="180" t="s">
        <v>5</v>
      </c>
      <c r="N32" s="120" t="s">
        <v>5</v>
      </c>
      <c r="O32" s="219" t="s">
        <v>5</v>
      </c>
      <c r="P32" s="180" t="s">
        <v>5</v>
      </c>
      <c r="Q32" s="120" t="s">
        <v>5</v>
      </c>
      <c r="R32" s="219" t="s">
        <v>5</v>
      </c>
      <c r="S32" s="180" t="s">
        <v>5</v>
      </c>
      <c r="T32" s="196">
        <f>(G32-F32)*E32/100</f>
        <v>6536.357939999999</v>
      </c>
      <c r="U32" s="28" t="s">
        <v>6</v>
      </c>
      <c r="V32" s="373">
        <v>100</v>
      </c>
      <c r="W32" s="16" t="str">
        <f t="shared" si="0"/>
        <v>A</v>
      </c>
      <c r="X32" s="16" t="s">
        <v>4</v>
      </c>
    </row>
    <row r="33" spans="1:24" s="3" customFormat="1" ht="15" customHeight="1">
      <c r="A33" s="453" t="s">
        <v>35</v>
      </c>
      <c r="B33" s="268">
        <v>0</v>
      </c>
      <c r="C33" s="111" t="s">
        <v>250</v>
      </c>
      <c r="D33" s="465" t="s">
        <v>5</v>
      </c>
      <c r="E33" s="366" t="s">
        <v>5</v>
      </c>
      <c r="F33" s="398" t="s">
        <v>5</v>
      </c>
      <c r="G33" s="399" t="s">
        <v>5</v>
      </c>
      <c r="H33" s="163" t="s">
        <v>5</v>
      </c>
      <c r="I33" s="395" t="s">
        <v>5</v>
      </c>
      <c r="J33" s="472" t="s">
        <v>5</v>
      </c>
      <c r="K33" s="163" t="s">
        <v>5</v>
      </c>
      <c r="L33" s="395" t="s">
        <v>5</v>
      </c>
      <c r="M33" s="472" t="s">
        <v>5</v>
      </c>
      <c r="N33" s="163" t="s">
        <v>5</v>
      </c>
      <c r="O33" s="395" t="s">
        <v>5</v>
      </c>
      <c r="P33" s="472" t="s">
        <v>5</v>
      </c>
      <c r="Q33" s="163" t="s">
        <v>5</v>
      </c>
      <c r="R33" s="395" t="s">
        <v>5</v>
      </c>
      <c r="S33" s="472" t="s">
        <v>5</v>
      </c>
      <c r="T33" s="197" t="s">
        <v>5</v>
      </c>
      <c r="U33" s="111" t="s">
        <v>5</v>
      </c>
      <c r="V33" s="377" t="s">
        <v>5</v>
      </c>
      <c r="W33" s="16" t="str">
        <f t="shared" si="0"/>
        <v/>
      </c>
      <c r="X33" s="5"/>
    </row>
    <row r="34" spans="1:24" s="3" customFormat="1" ht="15" customHeight="1">
      <c r="A34" s="272" t="s">
        <v>16</v>
      </c>
      <c r="B34" s="405">
        <v>1</v>
      </c>
      <c r="C34" s="28" t="s">
        <v>8</v>
      </c>
      <c r="D34" s="306" t="s">
        <v>5</v>
      </c>
      <c r="E34" s="127">
        <f>0.078*100</f>
        <v>7.8</v>
      </c>
      <c r="F34" s="145" t="s">
        <v>39</v>
      </c>
      <c r="G34" s="320" t="s">
        <v>5</v>
      </c>
      <c r="H34" s="163" t="s">
        <v>5</v>
      </c>
      <c r="I34" s="395" t="s">
        <v>5</v>
      </c>
      <c r="J34" s="472" t="s">
        <v>5</v>
      </c>
      <c r="K34" s="163" t="s">
        <v>5</v>
      </c>
      <c r="L34" s="395" t="s">
        <v>5</v>
      </c>
      <c r="M34" s="472" t="s">
        <v>5</v>
      </c>
      <c r="N34" s="163" t="s">
        <v>5</v>
      </c>
      <c r="O34" s="395" t="s">
        <v>5</v>
      </c>
      <c r="P34" s="472" t="s">
        <v>5</v>
      </c>
      <c r="Q34" s="163" t="s">
        <v>5</v>
      </c>
      <c r="R34" s="395" t="s">
        <v>5</v>
      </c>
      <c r="S34" s="472" t="s">
        <v>5</v>
      </c>
      <c r="T34" s="198" t="s">
        <v>5</v>
      </c>
      <c r="U34" s="28" t="s">
        <v>5</v>
      </c>
      <c r="V34" s="373" t="s">
        <v>5</v>
      </c>
      <c r="W34" s="16" t="str">
        <f t="shared" si="0"/>
        <v/>
      </c>
      <c r="X34" s="16" t="s">
        <v>4</v>
      </c>
    </row>
    <row r="35" spans="1:24" s="3" customFormat="1" ht="15" customHeight="1">
      <c r="A35" s="450" t="s">
        <v>72</v>
      </c>
      <c r="B35" s="460">
        <v>1</v>
      </c>
      <c r="C35" s="19" t="s">
        <v>8</v>
      </c>
      <c r="D35" s="303" t="s">
        <v>5</v>
      </c>
      <c r="E35" s="127">
        <f>(0.061098+0.065)*100</f>
        <v>12.609799999999998</v>
      </c>
      <c r="F35" s="145">
        <v>0</v>
      </c>
      <c r="G35" s="146">
        <v>54780</v>
      </c>
      <c r="H35" s="127">
        <f>0.0245*100</f>
        <v>2.4500000000000002</v>
      </c>
      <c r="I35" s="145">
        <f>G35</f>
        <v>54780</v>
      </c>
      <c r="J35" s="396" t="s">
        <v>5</v>
      </c>
      <c r="K35" s="175" t="s">
        <v>5</v>
      </c>
      <c r="L35" s="400" t="s">
        <v>5</v>
      </c>
      <c r="M35" s="396" t="s">
        <v>5</v>
      </c>
      <c r="N35" s="175" t="s">
        <v>5</v>
      </c>
      <c r="O35" s="400" t="s">
        <v>5</v>
      </c>
      <c r="P35" s="396" t="s">
        <v>5</v>
      </c>
      <c r="Q35" s="175" t="s">
        <v>5</v>
      </c>
      <c r="R35" s="400" t="s">
        <v>5</v>
      </c>
      <c r="S35" s="396" t="s">
        <v>5</v>
      </c>
      <c r="T35" s="199" t="s">
        <v>5</v>
      </c>
      <c r="U35" s="28" t="s">
        <v>6</v>
      </c>
      <c r="V35" s="373">
        <v>100</v>
      </c>
      <c r="W35" s="16" t="str">
        <f t="shared" si="0"/>
        <v>A</v>
      </c>
      <c r="X35" s="16"/>
    </row>
    <row r="36" spans="1:24" s="3" customFormat="1" ht="15" customHeight="1">
      <c r="A36" s="450" t="s">
        <v>72</v>
      </c>
      <c r="B36" s="460">
        <v>2</v>
      </c>
      <c r="C36" s="19" t="s">
        <v>8</v>
      </c>
      <c r="D36" s="302" t="s">
        <v>5</v>
      </c>
      <c r="E36" s="127">
        <f>0.075*100</f>
        <v>7.5</v>
      </c>
      <c r="F36" s="145" t="s">
        <v>5</v>
      </c>
      <c r="G36" s="146" t="s">
        <v>5</v>
      </c>
      <c r="H36" s="175" t="s">
        <v>5</v>
      </c>
      <c r="I36" s="400" t="s">
        <v>5</v>
      </c>
      <c r="J36" s="396" t="s">
        <v>5</v>
      </c>
      <c r="K36" s="175" t="s">
        <v>5</v>
      </c>
      <c r="L36" s="400" t="s">
        <v>5</v>
      </c>
      <c r="M36" s="396" t="s">
        <v>5</v>
      </c>
      <c r="N36" s="175" t="s">
        <v>5</v>
      </c>
      <c r="O36" s="400" t="s">
        <v>5</v>
      </c>
      <c r="P36" s="396" t="s">
        <v>5</v>
      </c>
      <c r="Q36" s="175" t="s">
        <v>5</v>
      </c>
      <c r="R36" s="400" t="s">
        <v>5</v>
      </c>
      <c r="S36" s="396" t="s">
        <v>5</v>
      </c>
      <c r="T36" s="202" t="s">
        <v>5</v>
      </c>
      <c r="U36" s="28" t="s">
        <v>5</v>
      </c>
      <c r="V36" s="373" t="s">
        <v>5</v>
      </c>
      <c r="W36" s="16" t="str">
        <f t="shared" si="0"/>
        <v/>
      </c>
      <c r="X36" s="16" t="s">
        <v>4</v>
      </c>
    </row>
    <row r="37" spans="1:24" s="3" customFormat="1" ht="15" customHeight="1">
      <c r="A37" s="272" t="s">
        <v>17</v>
      </c>
      <c r="B37" s="405">
        <v>1</v>
      </c>
      <c r="C37" s="28" t="s">
        <v>7</v>
      </c>
      <c r="D37" s="306" t="s">
        <v>5</v>
      </c>
      <c r="E37" s="127">
        <f>0.11*100</f>
        <v>11</v>
      </c>
      <c r="F37" s="319" t="s">
        <v>5</v>
      </c>
      <c r="G37" s="320" t="s">
        <v>5</v>
      </c>
      <c r="H37" s="163" t="s">
        <v>5</v>
      </c>
      <c r="I37" s="395" t="s">
        <v>5</v>
      </c>
      <c r="J37" s="472" t="s">
        <v>5</v>
      </c>
      <c r="K37" s="163" t="s">
        <v>5</v>
      </c>
      <c r="L37" s="395" t="s">
        <v>5</v>
      </c>
      <c r="M37" s="472" t="s">
        <v>5</v>
      </c>
      <c r="N37" s="163" t="s">
        <v>5</v>
      </c>
      <c r="O37" s="395" t="s">
        <v>5</v>
      </c>
      <c r="P37" s="472" t="s">
        <v>5</v>
      </c>
      <c r="Q37" s="163" t="s">
        <v>5</v>
      </c>
      <c r="R37" s="395" t="s">
        <v>5</v>
      </c>
      <c r="S37" s="472" t="s">
        <v>5</v>
      </c>
      <c r="T37" s="198" t="s">
        <v>5</v>
      </c>
      <c r="U37" s="28" t="s">
        <v>6</v>
      </c>
      <c r="V37" s="373">
        <v>100</v>
      </c>
      <c r="W37" s="16" t="str">
        <f t="shared" si="0"/>
        <v>A</v>
      </c>
      <c r="X37" s="16" t="s">
        <v>4</v>
      </c>
    </row>
    <row r="38" spans="1:24" s="4" customFormat="1" ht="15" customHeight="1">
      <c r="A38" s="235" t="s">
        <v>51</v>
      </c>
      <c r="B38" s="266">
        <v>1</v>
      </c>
      <c r="C38" s="19" t="s">
        <v>7</v>
      </c>
      <c r="D38" s="304" t="s">
        <v>5</v>
      </c>
      <c r="E38" s="127">
        <f>(0.073+0.037+0.01)*100</f>
        <v>11.999999999999998</v>
      </c>
      <c r="F38" s="145" t="str">
        <f>"["&amp;ROUND(136.1,1)&amp;"]"</f>
        <v>[136.1]</v>
      </c>
      <c r="G38" s="146">
        <f>9559.84863572993/12</f>
        <v>796.65405297749419</v>
      </c>
      <c r="H38" s="499">
        <f>0.073*100</f>
        <v>7.3</v>
      </c>
      <c r="I38" s="400">
        <f>G38</f>
        <v>796.65405297749419</v>
      </c>
      <c r="J38" s="396">
        <f>12746.4648476399/12</f>
        <v>1062.2054039699917</v>
      </c>
      <c r="K38" s="175" t="s">
        <v>5</v>
      </c>
      <c r="L38" s="400" t="s">
        <v>5</v>
      </c>
      <c r="M38" s="396" t="s">
        <v>5</v>
      </c>
      <c r="N38" s="175" t="s">
        <v>5</v>
      </c>
      <c r="O38" s="400" t="s">
        <v>5</v>
      </c>
      <c r="P38" s="396" t="s">
        <v>5</v>
      </c>
      <c r="Q38" s="175" t="s">
        <v>5</v>
      </c>
      <c r="R38" s="400" t="s">
        <v>5</v>
      </c>
      <c r="S38" s="396" t="s">
        <v>5</v>
      </c>
      <c r="T38" s="202">
        <f>(E38*G38)/100+(H38*J38)/100</f>
        <v>173.13948084710867</v>
      </c>
      <c r="U38" s="28" t="s">
        <v>6</v>
      </c>
      <c r="V38" s="373">
        <v>100</v>
      </c>
      <c r="W38" s="4" t="str">
        <f t="shared" si="0"/>
        <v>A</v>
      </c>
    </row>
    <row r="39" spans="1:24" s="4" customFormat="1" ht="15" customHeight="1">
      <c r="A39" s="450" t="s">
        <v>59</v>
      </c>
      <c r="B39" s="460">
        <v>1</v>
      </c>
      <c r="C39" s="19" t="s">
        <v>7</v>
      </c>
      <c r="D39" s="303" t="s">
        <v>5</v>
      </c>
      <c r="E39" s="127">
        <f>0.221*100</f>
        <v>22.1</v>
      </c>
      <c r="F39" s="400" t="s">
        <v>5</v>
      </c>
      <c r="G39" s="396" t="s">
        <v>5</v>
      </c>
      <c r="H39" s="175" t="s">
        <v>5</v>
      </c>
      <c r="I39" s="400" t="s">
        <v>5</v>
      </c>
      <c r="J39" s="396" t="s">
        <v>5</v>
      </c>
      <c r="K39" s="175" t="s">
        <v>5</v>
      </c>
      <c r="L39" s="400" t="s">
        <v>5</v>
      </c>
      <c r="M39" s="396" t="s">
        <v>5</v>
      </c>
      <c r="N39" s="175" t="s">
        <v>5</v>
      </c>
      <c r="O39" s="400" t="s">
        <v>5</v>
      </c>
      <c r="P39" s="396" t="s">
        <v>5</v>
      </c>
      <c r="Q39" s="175" t="s">
        <v>5</v>
      </c>
      <c r="R39" s="400" t="s">
        <v>5</v>
      </c>
      <c r="S39" s="396" t="s">
        <v>5</v>
      </c>
      <c r="T39" s="199" t="s">
        <v>5</v>
      </c>
      <c r="U39" s="28" t="s">
        <v>6</v>
      </c>
      <c r="V39" s="373">
        <v>100</v>
      </c>
      <c r="W39" s="16" t="str">
        <f t="shared" si="0"/>
        <v>A</v>
      </c>
    </row>
    <row r="40" spans="1:24" s="2" customFormat="1" ht="15" customHeight="1">
      <c r="A40" s="450" t="s">
        <v>213</v>
      </c>
      <c r="B40" s="460">
        <v>1</v>
      </c>
      <c r="C40" s="19" t="s">
        <v>8</v>
      </c>
      <c r="D40" s="306" t="s">
        <v>5</v>
      </c>
      <c r="E40" s="127">
        <f>(0.047+0.0155+0.001)*100</f>
        <v>6.35</v>
      </c>
      <c r="F40" s="114">
        <v>0</v>
      </c>
      <c r="G40" s="115">
        <v>26667</v>
      </c>
      <c r="H40" s="120" t="s">
        <v>5</v>
      </c>
      <c r="I40" s="219" t="s">
        <v>5</v>
      </c>
      <c r="J40" s="180" t="s">
        <v>5</v>
      </c>
      <c r="K40" s="120" t="s">
        <v>5</v>
      </c>
      <c r="L40" s="219" t="s">
        <v>5</v>
      </c>
      <c r="M40" s="180" t="s">
        <v>5</v>
      </c>
      <c r="N40" s="120" t="s">
        <v>5</v>
      </c>
      <c r="O40" s="219" t="s">
        <v>5</v>
      </c>
      <c r="P40" s="180" t="s">
        <v>5</v>
      </c>
      <c r="Q40" s="120" t="s">
        <v>5</v>
      </c>
      <c r="R40" s="219" t="s">
        <v>5</v>
      </c>
      <c r="S40" s="180" t="s">
        <v>5</v>
      </c>
      <c r="T40" s="196">
        <f>G40*(E40/100)</f>
        <v>1693.3544999999999</v>
      </c>
      <c r="U40" s="19" t="s">
        <v>6</v>
      </c>
      <c r="V40" s="371">
        <v>100</v>
      </c>
      <c r="W40" s="16" t="str">
        <f t="shared" si="0"/>
        <v>A</v>
      </c>
    </row>
    <row r="41" spans="1:24" s="3" customFormat="1" ht="15" customHeight="1">
      <c r="A41" s="272" t="s">
        <v>73</v>
      </c>
      <c r="B41" s="405">
        <v>1</v>
      </c>
      <c r="C41" s="28" t="s">
        <v>8</v>
      </c>
      <c r="D41" s="306" t="s">
        <v>5</v>
      </c>
      <c r="E41" s="127">
        <f>0.07*100</f>
        <v>7.0000000000000009</v>
      </c>
      <c r="F41" s="319" t="str">
        <f>"["&amp;ROUND(0.24*36600,0)&amp;"]"</f>
        <v>[8784]</v>
      </c>
      <c r="G41" s="320">
        <f>8.07*37300</f>
        <v>301011</v>
      </c>
      <c r="H41" s="163" t="s">
        <v>5</v>
      </c>
      <c r="I41" s="395" t="s">
        <v>5</v>
      </c>
      <c r="J41" s="472" t="s">
        <v>5</v>
      </c>
      <c r="K41" s="163" t="s">
        <v>5</v>
      </c>
      <c r="L41" s="395" t="s">
        <v>5</v>
      </c>
      <c r="M41" s="472" t="s">
        <v>5</v>
      </c>
      <c r="N41" s="163" t="s">
        <v>5</v>
      </c>
      <c r="O41" s="395" t="s">
        <v>5</v>
      </c>
      <c r="P41" s="472" t="s">
        <v>5</v>
      </c>
      <c r="Q41" s="163" t="s">
        <v>5</v>
      </c>
      <c r="R41" s="395" t="s">
        <v>5</v>
      </c>
      <c r="S41" s="472" t="s">
        <v>5</v>
      </c>
      <c r="T41" s="196">
        <f>ROUND(E41*G41/100,-2)</f>
        <v>21100</v>
      </c>
      <c r="U41" s="101" t="s">
        <v>18</v>
      </c>
      <c r="V41" s="454">
        <v>75</v>
      </c>
      <c r="W41" s="16" t="str">
        <f t="shared" si="0"/>
        <v>AB</v>
      </c>
      <c r="X41" s="16" t="s">
        <v>4</v>
      </c>
    </row>
    <row r="42" spans="1:24" s="3" customFormat="1" ht="15" customHeight="1">
      <c r="A42" s="450" t="s">
        <v>74</v>
      </c>
      <c r="B42" s="460">
        <v>1</v>
      </c>
      <c r="C42" s="28" t="s">
        <v>8</v>
      </c>
      <c r="D42" s="306" t="s">
        <v>5</v>
      </c>
      <c r="E42" s="127">
        <f>(0.015*100)+K42</f>
        <v>6.5500000000000007</v>
      </c>
      <c r="F42" s="114">
        <v>0</v>
      </c>
      <c r="G42" s="115">
        <v>106800</v>
      </c>
      <c r="H42" s="127">
        <f>(0.01*100)+K42</f>
        <v>6.0500000000000007</v>
      </c>
      <c r="I42" s="114">
        <f>G42</f>
        <v>106800</v>
      </c>
      <c r="J42" s="146">
        <v>267000</v>
      </c>
      <c r="K42" s="127">
        <f>0.0505*100</f>
        <v>5.0500000000000007</v>
      </c>
      <c r="L42" s="145">
        <f>J42</f>
        <v>267000</v>
      </c>
      <c r="M42" s="180" t="s">
        <v>5</v>
      </c>
      <c r="N42" s="120" t="s">
        <v>5</v>
      </c>
      <c r="O42" s="219" t="s">
        <v>5</v>
      </c>
      <c r="P42" s="180" t="s">
        <v>5</v>
      </c>
      <c r="Q42" s="120" t="s">
        <v>5</v>
      </c>
      <c r="R42" s="219" t="s">
        <v>5</v>
      </c>
      <c r="S42" s="180" t="s">
        <v>5</v>
      </c>
      <c r="T42" s="198" t="s">
        <v>5</v>
      </c>
      <c r="U42" s="28" t="s">
        <v>6</v>
      </c>
      <c r="V42" s="373">
        <v>100</v>
      </c>
      <c r="W42" s="16" t="str">
        <f t="shared" si="0"/>
        <v>A</v>
      </c>
      <c r="X42" s="16" t="s">
        <v>4</v>
      </c>
    </row>
    <row r="43" spans="1:24" s="3" customFormat="1" ht="15" customHeight="1">
      <c r="A43" s="272" t="s">
        <v>32</v>
      </c>
      <c r="B43" s="405">
        <v>1</v>
      </c>
      <c r="C43" s="28" t="s">
        <v>8</v>
      </c>
      <c r="D43" s="306" t="s">
        <v>5</v>
      </c>
      <c r="E43" s="127">
        <f>0.14*100</f>
        <v>14.000000000000002</v>
      </c>
      <c r="F43" s="133" t="str">
        <f>"/"&amp;ROUND(1371.6,0)&amp;"/"</f>
        <v>/1372/</v>
      </c>
      <c r="G43" s="115">
        <v>5880</v>
      </c>
      <c r="H43" s="120" t="s">
        <v>5</v>
      </c>
      <c r="I43" s="219" t="s">
        <v>5</v>
      </c>
      <c r="J43" s="180" t="s">
        <v>5</v>
      </c>
      <c r="K43" s="120" t="s">
        <v>5</v>
      </c>
      <c r="L43" s="219" t="s">
        <v>5</v>
      </c>
      <c r="M43" s="180" t="s">
        <v>5</v>
      </c>
      <c r="N43" s="120" t="s">
        <v>5</v>
      </c>
      <c r="O43" s="219" t="s">
        <v>5</v>
      </c>
      <c r="P43" s="180" t="s">
        <v>5</v>
      </c>
      <c r="Q43" s="120" t="s">
        <v>5</v>
      </c>
      <c r="R43" s="219" t="s">
        <v>5</v>
      </c>
      <c r="S43" s="180" t="s">
        <v>5</v>
      </c>
      <c r="T43" s="196">
        <f>G43*E43/100</f>
        <v>823.20000000000016</v>
      </c>
      <c r="U43" s="28" t="s">
        <v>6</v>
      </c>
      <c r="V43" s="373">
        <v>100</v>
      </c>
      <c r="W43" s="16" t="str">
        <f t="shared" si="0"/>
        <v>A</v>
      </c>
      <c r="X43" s="16" t="s">
        <v>4</v>
      </c>
    </row>
    <row r="44" spans="1:24" s="3" customFormat="1" ht="15" customHeight="1">
      <c r="A44" s="455" t="s">
        <v>47</v>
      </c>
      <c r="B44" s="461">
        <v>1</v>
      </c>
      <c r="C44" s="28" t="s">
        <v>19</v>
      </c>
      <c r="D44" s="306" t="s">
        <v>5</v>
      </c>
      <c r="E44" s="127">
        <f>0.1*100</f>
        <v>10</v>
      </c>
      <c r="F44" s="114">
        <f>3952/52</f>
        <v>76</v>
      </c>
      <c r="G44" s="115">
        <f>27820/52</f>
        <v>535</v>
      </c>
      <c r="H44" s="120" t="s">
        <v>5</v>
      </c>
      <c r="I44" s="219" t="s">
        <v>5</v>
      </c>
      <c r="J44" s="180" t="s">
        <v>5</v>
      </c>
      <c r="K44" s="120" t="s">
        <v>5</v>
      </c>
      <c r="L44" s="219" t="s">
        <v>5</v>
      </c>
      <c r="M44" s="180" t="s">
        <v>5</v>
      </c>
      <c r="N44" s="120" t="s">
        <v>5</v>
      </c>
      <c r="O44" s="219" t="s">
        <v>5</v>
      </c>
      <c r="P44" s="180" t="s">
        <v>5</v>
      </c>
      <c r="Q44" s="120" t="s">
        <v>5</v>
      </c>
      <c r="R44" s="219" t="s">
        <v>5</v>
      </c>
      <c r="S44" s="180" t="s">
        <v>5</v>
      </c>
      <c r="T44" s="196">
        <f>(G44-F44)*E44/100</f>
        <v>45.9</v>
      </c>
      <c r="U44" s="28" t="s">
        <v>5</v>
      </c>
      <c r="V44" s="373" t="s">
        <v>5</v>
      </c>
      <c r="W44" s="16" t="str">
        <f t="shared" si="0"/>
        <v/>
      </c>
      <c r="X44" s="16" t="s">
        <v>4</v>
      </c>
    </row>
    <row r="45" spans="1:24" s="3" customFormat="1" ht="15" customHeight="1">
      <c r="A45" s="456" t="s">
        <v>20</v>
      </c>
      <c r="B45" s="462">
        <v>1</v>
      </c>
      <c r="C45" s="457" t="s">
        <v>8</v>
      </c>
      <c r="D45" s="466" t="s">
        <v>5</v>
      </c>
      <c r="E45" s="293">
        <f>(0.062*100)+H45</f>
        <v>7.65</v>
      </c>
      <c r="F45" s="116">
        <v>0</v>
      </c>
      <c r="G45" s="117">
        <v>76200</v>
      </c>
      <c r="H45" s="293">
        <f>0.0145*100</f>
        <v>1.4500000000000002</v>
      </c>
      <c r="I45" s="116">
        <f>G45</f>
        <v>76200</v>
      </c>
      <c r="J45" s="492" t="s">
        <v>5</v>
      </c>
      <c r="K45" s="493" t="s">
        <v>5</v>
      </c>
      <c r="L45" s="494" t="s">
        <v>5</v>
      </c>
      <c r="M45" s="492" t="s">
        <v>5</v>
      </c>
      <c r="N45" s="493" t="s">
        <v>5</v>
      </c>
      <c r="O45" s="494" t="s">
        <v>5</v>
      </c>
      <c r="P45" s="492" t="s">
        <v>5</v>
      </c>
      <c r="Q45" s="493" t="s">
        <v>5</v>
      </c>
      <c r="R45" s="494" t="s">
        <v>5</v>
      </c>
      <c r="S45" s="492" t="s">
        <v>5</v>
      </c>
      <c r="T45" s="458" t="s">
        <v>5</v>
      </c>
      <c r="U45" s="457" t="s">
        <v>5</v>
      </c>
      <c r="V45" s="459" t="s">
        <v>5</v>
      </c>
      <c r="W45" s="16" t="str">
        <f t="shared" si="0"/>
        <v/>
      </c>
      <c r="X45" s="16" t="s">
        <v>4</v>
      </c>
    </row>
    <row r="46" spans="1:24" s="3" customFormat="1" ht="15" customHeight="1">
      <c r="A46" s="178"/>
      <c r="B46" s="171"/>
      <c r="C46" s="28"/>
      <c r="D46" s="144"/>
      <c r="E46" s="127"/>
      <c r="F46" s="118"/>
      <c r="G46" s="118"/>
      <c r="H46" s="118"/>
      <c r="I46" s="118"/>
      <c r="J46" s="118"/>
      <c r="K46" s="118"/>
      <c r="L46" s="118"/>
      <c r="M46" s="118"/>
      <c r="N46" s="118"/>
      <c r="O46" s="118"/>
      <c r="P46" s="118"/>
      <c r="Q46" s="118"/>
      <c r="R46" s="118"/>
      <c r="S46" s="118"/>
      <c r="T46" s="150"/>
      <c r="U46" s="28"/>
      <c r="V46" s="27"/>
      <c r="W46" s="16"/>
    </row>
    <row r="47" spans="1:24" s="75" customFormat="1" ht="12.75" customHeight="1">
      <c r="A47" s="553" t="s">
        <v>94</v>
      </c>
      <c r="B47" s="553"/>
      <c r="C47" s="553"/>
      <c r="D47" s="554"/>
      <c r="E47" s="553"/>
      <c r="F47" s="553"/>
      <c r="G47" s="553"/>
      <c r="H47" s="553"/>
      <c r="I47" s="553"/>
      <c r="J47" s="553"/>
      <c r="K47" s="553"/>
      <c r="L47" s="553"/>
      <c r="M47" s="553"/>
      <c r="N47" s="553"/>
      <c r="O47" s="553"/>
      <c r="P47" s="553"/>
      <c r="Q47" s="553"/>
      <c r="R47" s="553"/>
      <c r="S47" s="553"/>
      <c r="T47" s="555"/>
      <c r="U47" s="557"/>
      <c r="V47" s="557"/>
    </row>
    <row r="48" spans="1:24" s="76" customFormat="1" ht="12.75" customHeight="1">
      <c r="A48" s="558" t="s">
        <v>95</v>
      </c>
      <c r="B48" s="558"/>
      <c r="C48" s="558"/>
      <c r="D48" s="559"/>
      <c r="E48" s="558"/>
      <c r="F48" s="558"/>
      <c r="G48" s="558"/>
      <c r="H48" s="558"/>
      <c r="I48" s="558"/>
      <c r="J48" s="558"/>
      <c r="K48" s="558"/>
      <c r="L48" s="558"/>
      <c r="M48" s="558"/>
      <c r="N48" s="558"/>
      <c r="O48" s="558"/>
      <c r="P48" s="558"/>
      <c r="Q48" s="558"/>
      <c r="R48" s="558"/>
      <c r="S48" s="558"/>
      <c r="T48" s="560"/>
      <c r="U48" s="562"/>
      <c r="V48" s="562"/>
    </row>
    <row r="49" spans="1:33" s="76" customFormat="1" ht="12.75" customHeight="1">
      <c r="A49" s="539" t="s">
        <v>107</v>
      </c>
      <c r="B49" s="539"/>
      <c r="C49" s="539"/>
      <c r="D49" s="550"/>
      <c r="E49" s="550"/>
      <c r="F49" s="550"/>
      <c r="G49" s="550"/>
      <c r="H49" s="550"/>
      <c r="I49" s="550"/>
      <c r="J49" s="550"/>
      <c r="K49" s="550"/>
      <c r="L49" s="550"/>
      <c r="M49" s="550"/>
      <c r="N49" s="550"/>
      <c r="O49" s="550"/>
      <c r="P49" s="550"/>
      <c r="Q49" s="550"/>
      <c r="R49" s="550"/>
      <c r="S49" s="550"/>
      <c r="T49" s="550"/>
      <c r="U49" s="551"/>
      <c r="V49" s="551"/>
    </row>
    <row r="50" spans="1:33" s="76" customFormat="1" ht="12.75" customHeight="1">
      <c r="A50" s="539" t="s">
        <v>108</v>
      </c>
      <c r="B50" s="539"/>
      <c r="C50" s="539"/>
      <c r="D50" s="550"/>
      <c r="E50" s="550"/>
      <c r="F50" s="550"/>
      <c r="G50" s="550"/>
      <c r="H50" s="550"/>
      <c r="I50" s="550"/>
      <c r="J50" s="550"/>
      <c r="K50" s="550"/>
      <c r="L50" s="550"/>
      <c r="M50" s="550"/>
      <c r="N50" s="550"/>
      <c r="O50" s="550"/>
      <c r="P50" s="550"/>
      <c r="Q50" s="550"/>
      <c r="R50" s="550"/>
      <c r="S50" s="550"/>
      <c r="T50" s="550"/>
      <c r="U50" s="551"/>
      <c r="V50" s="551"/>
    </row>
    <row r="51" spans="1:33" s="76" customFormat="1" ht="12.75" customHeight="1">
      <c r="A51" s="516" t="s">
        <v>1</v>
      </c>
      <c r="B51" s="84" t="s">
        <v>122</v>
      </c>
      <c r="C51" s="509" t="s">
        <v>123</v>
      </c>
      <c r="D51" s="103"/>
      <c r="E51" s="103"/>
      <c r="F51" s="104"/>
      <c r="U51" s="166"/>
      <c r="V51" s="166"/>
    </row>
    <row r="52" spans="1:33" s="76" customFormat="1" ht="12.75" customHeight="1">
      <c r="A52" s="517"/>
      <c r="B52" s="85" t="s">
        <v>124</v>
      </c>
      <c r="C52" s="510" t="s">
        <v>126</v>
      </c>
      <c r="D52" s="105"/>
      <c r="E52" s="105"/>
      <c r="F52" s="106"/>
      <c r="U52" s="83"/>
      <c r="V52" s="83"/>
    </row>
    <row r="53" spans="1:33" s="76" customFormat="1" ht="12.75" customHeight="1">
      <c r="A53" s="517"/>
      <c r="B53" s="86" t="s">
        <v>125</v>
      </c>
      <c r="C53" s="511" t="s">
        <v>136</v>
      </c>
      <c r="D53" s="107"/>
      <c r="E53" s="107"/>
      <c r="F53" s="108"/>
      <c r="U53" s="83"/>
      <c r="V53" s="83"/>
    </row>
    <row r="54" spans="1:33" s="76" customFormat="1" ht="12.75" customHeight="1">
      <c r="A54" s="517"/>
      <c r="C54" s="78"/>
      <c r="D54" s="93"/>
      <c r="E54" s="93"/>
      <c r="F54" s="93"/>
      <c r="U54" s="83"/>
      <c r="V54" s="83"/>
    </row>
    <row r="55" spans="1:33" s="76" customFormat="1" ht="12.75" customHeight="1">
      <c r="A55" s="518" t="s">
        <v>127</v>
      </c>
      <c r="B55" s="84" t="s">
        <v>128</v>
      </c>
      <c r="C55" s="509" t="s">
        <v>129</v>
      </c>
      <c r="D55" s="103"/>
      <c r="E55" s="103"/>
      <c r="F55" s="104"/>
      <c r="U55" s="99"/>
      <c r="V55" s="99"/>
    </row>
    <row r="56" spans="1:33" s="76" customFormat="1" ht="12.75" customHeight="1">
      <c r="A56" s="517"/>
      <c r="B56" s="85" t="s">
        <v>130</v>
      </c>
      <c r="C56" s="510" t="s">
        <v>133</v>
      </c>
      <c r="D56" s="105"/>
      <c r="E56" s="105"/>
      <c r="F56" s="106"/>
      <c r="U56" s="83"/>
      <c r="V56" s="83"/>
    </row>
    <row r="57" spans="1:33" s="76" customFormat="1" ht="12.75" customHeight="1">
      <c r="A57" s="517"/>
      <c r="B57" s="85" t="s">
        <v>131</v>
      </c>
      <c r="C57" s="510" t="s">
        <v>132</v>
      </c>
      <c r="D57" s="105"/>
      <c r="E57" s="105"/>
      <c r="F57" s="106"/>
      <c r="U57" s="83"/>
      <c r="V57" s="83"/>
    </row>
    <row r="58" spans="1:33" s="76" customFormat="1" ht="12.75" customHeight="1">
      <c r="A58" s="517"/>
      <c r="B58" s="85" t="s">
        <v>134</v>
      </c>
      <c r="C58" s="510" t="s">
        <v>135</v>
      </c>
      <c r="D58" s="105"/>
      <c r="E58" s="105"/>
      <c r="F58" s="106"/>
      <c r="U58" s="83"/>
      <c r="V58" s="83"/>
    </row>
    <row r="59" spans="1:33" s="76" customFormat="1" ht="12.75" customHeight="1">
      <c r="A59" s="519"/>
      <c r="B59" s="86" t="s">
        <v>28</v>
      </c>
      <c r="C59" s="511" t="s">
        <v>214</v>
      </c>
      <c r="D59" s="109"/>
      <c r="E59" s="109"/>
      <c r="F59" s="110"/>
      <c r="U59" s="83"/>
      <c r="V59" s="83"/>
    </row>
    <row r="60" spans="1:33" s="76" customFormat="1" ht="12.75" customHeight="1">
      <c r="A60" s="520"/>
      <c r="B60" s="78"/>
      <c r="C60" s="78"/>
      <c r="D60" s="83"/>
      <c r="F60" s="83"/>
      <c r="G60" s="83"/>
      <c r="H60" s="83"/>
      <c r="I60" s="83"/>
      <c r="J60" s="83"/>
      <c r="K60" s="83"/>
      <c r="L60" s="83"/>
      <c r="M60" s="83"/>
      <c r="N60" s="83"/>
      <c r="O60" s="83"/>
      <c r="P60" s="83"/>
      <c r="Q60" s="83"/>
      <c r="R60" s="83"/>
      <c r="S60" s="83"/>
      <c r="T60" s="83"/>
      <c r="U60" s="83"/>
      <c r="V60" s="83"/>
    </row>
    <row r="61" spans="1:33" s="76" customFormat="1">
      <c r="A61" s="540" t="s">
        <v>96</v>
      </c>
      <c r="B61" s="540"/>
      <c r="C61" s="540"/>
      <c r="D61" s="540"/>
      <c r="E61" s="540"/>
      <c r="F61" s="540"/>
      <c r="G61" s="540"/>
      <c r="H61" s="540"/>
      <c r="I61" s="540"/>
      <c r="J61" s="540"/>
      <c r="K61" s="540"/>
      <c r="L61" s="540"/>
      <c r="M61" s="540"/>
      <c r="N61" s="540"/>
      <c r="O61" s="540"/>
      <c r="P61" s="540"/>
      <c r="Q61" s="540"/>
      <c r="R61" s="540"/>
      <c r="S61" s="540"/>
      <c r="T61" s="540"/>
      <c r="U61" s="540"/>
      <c r="V61" s="540"/>
    </row>
    <row r="62" spans="1:33" s="76" customFormat="1">
      <c r="A62" s="539" t="s">
        <v>97</v>
      </c>
      <c r="B62" s="539"/>
      <c r="C62" s="539"/>
      <c r="D62" s="539"/>
      <c r="E62" s="539"/>
      <c r="F62" s="539"/>
      <c r="G62" s="539"/>
      <c r="H62" s="539"/>
      <c r="I62" s="539"/>
      <c r="J62" s="539"/>
      <c r="K62" s="539"/>
      <c r="L62" s="539"/>
      <c r="M62" s="539"/>
      <c r="N62" s="539"/>
      <c r="O62" s="539"/>
      <c r="P62" s="539"/>
      <c r="Q62" s="539"/>
      <c r="R62" s="539"/>
      <c r="S62" s="539"/>
      <c r="T62" s="539"/>
      <c r="U62" s="539"/>
      <c r="V62" s="539"/>
    </row>
    <row r="63" spans="1:33" s="76" customFormat="1" ht="22.5" customHeight="1">
      <c r="A63" s="521" t="s">
        <v>98</v>
      </c>
      <c r="B63" s="177"/>
      <c r="C63" s="512"/>
      <c r="D63" s="177"/>
      <c r="E63" s="177"/>
      <c r="F63" s="177"/>
      <c r="G63" s="177"/>
      <c r="H63" s="177"/>
      <c r="I63" s="177"/>
      <c r="J63" s="177"/>
      <c r="K63" s="177"/>
      <c r="L63" s="177"/>
      <c r="M63" s="177"/>
      <c r="N63" s="177"/>
      <c r="O63" s="177"/>
      <c r="P63" s="177"/>
      <c r="Q63" s="177"/>
      <c r="R63" s="177"/>
      <c r="S63" s="177"/>
      <c r="T63" s="177"/>
      <c r="U63" s="177"/>
      <c r="V63" s="177"/>
    </row>
    <row r="64" spans="1:33" s="76" customFormat="1" ht="50.25" customHeight="1">
      <c r="A64" s="539" t="s">
        <v>238</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22.5" customHeight="1">
      <c r="A65" s="539" t="s">
        <v>226</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35.25" customHeight="1">
      <c r="A66" s="539" t="s">
        <v>227</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65.25" customHeight="1">
      <c r="A67" s="539" t="s">
        <v>228</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132" customHeight="1">
      <c r="A68" s="539" t="s">
        <v>229</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50.25" customHeight="1">
      <c r="A69" s="539" t="s">
        <v>230</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s="93" customFormat="1" ht="18.75" customHeight="1">
      <c r="A71" s="543" t="s">
        <v>265</v>
      </c>
      <c r="B71" s="543"/>
      <c r="C71" s="543"/>
      <c r="D71" s="543"/>
      <c r="E71" s="543"/>
      <c r="F71" s="543"/>
      <c r="G71" s="543"/>
      <c r="H71" s="543"/>
      <c r="I71" s="543"/>
      <c r="J71" s="543"/>
      <c r="K71" s="543"/>
      <c r="L71" s="543"/>
      <c r="M71" s="543"/>
      <c r="N71" s="543"/>
      <c r="O71" s="543"/>
      <c r="P71" s="543"/>
      <c r="Q71" s="543"/>
      <c r="R71" s="543"/>
      <c r="S71" s="543"/>
      <c r="T71" s="543"/>
      <c r="U71" s="543"/>
      <c r="V71" s="543"/>
    </row>
    <row r="72" spans="1:33" s="93" customFormat="1" ht="18.75" customHeight="1">
      <c r="A72" s="543" t="s">
        <v>137</v>
      </c>
      <c r="B72" s="543"/>
      <c r="C72" s="543"/>
      <c r="D72" s="543"/>
      <c r="E72" s="543"/>
      <c r="F72" s="543"/>
      <c r="G72" s="543"/>
      <c r="H72" s="543"/>
      <c r="I72" s="543"/>
      <c r="J72" s="543"/>
      <c r="K72" s="543"/>
      <c r="L72" s="543"/>
      <c r="M72" s="543"/>
      <c r="N72" s="543"/>
      <c r="O72" s="543"/>
      <c r="P72" s="543"/>
      <c r="Q72" s="543"/>
      <c r="R72" s="543"/>
      <c r="S72" s="543"/>
      <c r="T72" s="543"/>
      <c r="U72" s="543"/>
      <c r="V72" s="543"/>
    </row>
    <row r="73" spans="1:33" s="93" customFormat="1" ht="24" customHeight="1">
      <c r="A73" s="543" t="s">
        <v>138</v>
      </c>
      <c r="B73" s="543"/>
      <c r="C73" s="543"/>
      <c r="D73" s="543"/>
      <c r="E73" s="543"/>
      <c r="F73" s="543"/>
      <c r="G73" s="543"/>
      <c r="H73" s="543"/>
      <c r="I73" s="543"/>
      <c r="J73" s="543"/>
      <c r="K73" s="543"/>
      <c r="L73" s="543"/>
      <c r="M73" s="543"/>
      <c r="N73" s="543"/>
      <c r="O73" s="543"/>
      <c r="P73" s="543"/>
      <c r="Q73" s="543"/>
      <c r="R73" s="543"/>
      <c r="S73" s="543"/>
      <c r="T73" s="543"/>
      <c r="U73" s="543"/>
      <c r="V73" s="543"/>
    </row>
    <row r="74" spans="1:33" s="93" customFormat="1" ht="24" customHeight="1">
      <c r="A74" s="543" t="s">
        <v>139</v>
      </c>
      <c r="B74" s="543"/>
      <c r="C74" s="543"/>
      <c r="D74" s="543"/>
      <c r="E74" s="543"/>
      <c r="F74" s="543"/>
      <c r="G74" s="543"/>
      <c r="H74" s="543"/>
      <c r="I74" s="543"/>
      <c r="J74" s="543"/>
      <c r="K74" s="543"/>
      <c r="L74" s="543"/>
      <c r="M74" s="543"/>
      <c r="N74" s="543"/>
      <c r="O74" s="543"/>
      <c r="P74" s="543"/>
      <c r="Q74" s="543"/>
      <c r="R74" s="543"/>
      <c r="S74" s="543"/>
      <c r="T74" s="543"/>
      <c r="U74" s="543"/>
      <c r="V74" s="543"/>
    </row>
    <row r="75" spans="1:33" s="93" customFormat="1" ht="24" customHeight="1">
      <c r="A75" s="543" t="s">
        <v>140</v>
      </c>
      <c r="B75" s="543"/>
      <c r="C75" s="543"/>
      <c r="D75" s="543"/>
      <c r="E75" s="543"/>
      <c r="F75" s="543"/>
      <c r="G75" s="543"/>
      <c r="H75" s="543"/>
      <c r="I75" s="543"/>
      <c r="J75" s="543"/>
      <c r="K75" s="543"/>
      <c r="L75" s="543"/>
      <c r="M75" s="543"/>
      <c r="N75" s="543"/>
      <c r="O75" s="543"/>
      <c r="P75" s="543"/>
      <c r="Q75" s="543"/>
      <c r="R75" s="543"/>
      <c r="S75" s="543"/>
      <c r="T75" s="543"/>
      <c r="U75" s="543"/>
      <c r="V75" s="543"/>
    </row>
    <row r="76" spans="1:33" s="76" customFormat="1" ht="20.25" customHeight="1">
      <c r="A76" s="540" t="s">
        <v>217</v>
      </c>
      <c r="B76" s="540"/>
      <c r="C76" s="540"/>
      <c r="D76" s="540"/>
      <c r="E76" s="540"/>
      <c r="F76" s="540"/>
      <c r="G76" s="540"/>
      <c r="H76" s="540"/>
      <c r="I76" s="540"/>
      <c r="J76" s="540"/>
      <c r="K76" s="540"/>
      <c r="L76" s="540"/>
      <c r="M76" s="540"/>
      <c r="N76" s="540"/>
      <c r="O76" s="540"/>
      <c r="P76" s="540"/>
      <c r="Q76" s="540"/>
      <c r="R76" s="540"/>
      <c r="S76" s="540"/>
      <c r="T76" s="540"/>
      <c r="U76" s="540"/>
      <c r="V76" s="540"/>
    </row>
    <row r="77" spans="1:33" s="93" customFormat="1" ht="46.5" customHeight="1">
      <c r="A77" s="543" t="s">
        <v>141</v>
      </c>
      <c r="B77" s="543"/>
      <c r="C77" s="543"/>
      <c r="D77" s="543"/>
      <c r="E77" s="543"/>
      <c r="F77" s="543"/>
      <c r="G77" s="543"/>
      <c r="H77" s="543"/>
      <c r="I77" s="543"/>
      <c r="J77" s="543"/>
      <c r="K77" s="543"/>
      <c r="L77" s="543"/>
      <c r="M77" s="543"/>
      <c r="N77" s="543"/>
      <c r="O77" s="543"/>
      <c r="P77" s="543"/>
      <c r="Q77" s="543"/>
      <c r="R77" s="543"/>
      <c r="S77" s="543"/>
      <c r="T77" s="543"/>
      <c r="U77" s="543"/>
      <c r="V77" s="543"/>
    </row>
    <row r="78" spans="1:33" s="93" customFormat="1" ht="57.75" customHeight="1">
      <c r="A78" s="543" t="s">
        <v>142</v>
      </c>
      <c r="B78" s="543"/>
      <c r="C78" s="543"/>
      <c r="D78" s="543"/>
      <c r="E78" s="543"/>
      <c r="F78" s="543"/>
      <c r="G78" s="543"/>
      <c r="H78" s="543"/>
      <c r="I78" s="543"/>
      <c r="J78" s="543"/>
      <c r="K78" s="543"/>
      <c r="L78" s="543"/>
      <c r="M78" s="543"/>
      <c r="N78" s="543"/>
      <c r="O78" s="543"/>
      <c r="P78" s="543"/>
      <c r="Q78" s="543"/>
      <c r="R78" s="543"/>
      <c r="S78" s="543"/>
      <c r="T78" s="543"/>
      <c r="U78" s="543"/>
      <c r="V78" s="543"/>
    </row>
    <row r="79" spans="1:33" s="93" customFormat="1" ht="18.75" customHeight="1">
      <c r="A79" s="543" t="s">
        <v>143</v>
      </c>
      <c r="B79" s="543"/>
      <c r="C79" s="543"/>
      <c r="D79" s="543"/>
      <c r="E79" s="543"/>
      <c r="F79" s="543"/>
      <c r="G79" s="543"/>
      <c r="H79" s="543"/>
      <c r="I79" s="543"/>
      <c r="J79" s="543"/>
      <c r="K79" s="543"/>
      <c r="L79" s="543"/>
      <c r="M79" s="543"/>
      <c r="N79" s="543"/>
      <c r="O79" s="543"/>
      <c r="P79" s="543"/>
      <c r="Q79" s="543"/>
      <c r="R79" s="543"/>
      <c r="S79" s="543"/>
      <c r="T79" s="543"/>
      <c r="U79" s="543"/>
      <c r="V79" s="543"/>
    </row>
    <row r="80" spans="1:33" s="93" customFormat="1" ht="44.25" customHeight="1">
      <c r="A80" s="543" t="s">
        <v>144</v>
      </c>
      <c r="B80" s="543"/>
      <c r="C80" s="543"/>
      <c r="D80" s="543"/>
      <c r="E80" s="543"/>
      <c r="F80" s="543"/>
      <c r="G80" s="543"/>
      <c r="H80" s="543"/>
      <c r="I80" s="543"/>
      <c r="J80" s="543"/>
      <c r="K80" s="543"/>
      <c r="L80" s="543"/>
      <c r="M80" s="543"/>
      <c r="N80" s="543"/>
      <c r="O80" s="543"/>
      <c r="P80" s="543"/>
      <c r="Q80" s="543"/>
      <c r="R80" s="543"/>
      <c r="S80" s="543"/>
      <c r="T80" s="543"/>
      <c r="U80" s="543"/>
      <c r="V80" s="543"/>
    </row>
    <row r="81" spans="1:22" s="93" customFormat="1" ht="18.75" customHeight="1">
      <c r="A81" s="543" t="s">
        <v>145</v>
      </c>
      <c r="B81" s="543"/>
      <c r="C81" s="543"/>
      <c r="D81" s="543"/>
      <c r="E81" s="543"/>
      <c r="F81" s="543"/>
      <c r="G81" s="543"/>
      <c r="H81" s="543"/>
      <c r="I81" s="543"/>
      <c r="J81" s="543"/>
      <c r="K81" s="543"/>
      <c r="L81" s="543"/>
      <c r="M81" s="543"/>
      <c r="N81" s="543"/>
      <c r="O81" s="543"/>
      <c r="P81" s="543"/>
      <c r="Q81" s="543"/>
      <c r="R81" s="543"/>
      <c r="S81" s="543"/>
      <c r="T81" s="543"/>
      <c r="U81" s="543"/>
      <c r="V81" s="543"/>
    </row>
    <row r="82" spans="1:22" s="93" customFormat="1" ht="39" customHeight="1">
      <c r="A82" s="543" t="s">
        <v>163</v>
      </c>
      <c r="B82" s="543"/>
      <c r="C82" s="543"/>
      <c r="D82" s="543"/>
      <c r="E82" s="543"/>
      <c r="F82" s="543"/>
      <c r="G82" s="543"/>
      <c r="H82" s="543"/>
      <c r="I82" s="543"/>
      <c r="J82" s="543"/>
      <c r="K82" s="543"/>
      <c r="L82" s="543"/>
      <c r="M82" s="543"/>
      <c r="N82" s="543"/>
      <c r="O82" s="543"/>
      <c r="P82" s="543"/>
      <c r="Q82" s="543"/>
      <c r="R82" s="543"/>
      <c r="S82" s="543"/>
      <c r="T82" s="543"/>
      <c r="U82" s="543"/>
      <c r="V82" s="543"/>
    </row>
    <row r="83" spans="1:22" s="93" customFormat="1" ht="18.75" customHeight="1">
      <c r="A83" s="543" t="s">
        <v>220</v>
      </c>
      <c r="B83" s="543"/>
      <c r="C83" s="543"/>
      <c r="D83" s="543"/>
      <c r="E83" s="543"/>
      <c r="F83" s="543"/>
      <c r="G83" s="543"/>
      <c r="H83" s="543"/>
      <c r="I83" s="543"/>
      <c r="J83" s="543"/>
      <c r="K83" s="543"/>
      <c r="L83" s="543"/>
      <c r="M83" s="543"/>
      <c r="N83" s="543"/>
      <c r="O83" s="543"/>
      <c r="P83" s="543"/>
      <c r="Q83" s="543"/>
      <c r="R83" s="543"/>
      <c r="S83" s="543"/>
      <c r="T83" s="543"/>
      <c r="U83" s="543"/>
      <c r="V83" s="543"/>
    </row>
    <row r="84" spans="1:22" s="93" customFormat="1" ht="18.75" customHeight="1">
      <c r="A84" s="543" t="s">
        <v>147</v>
      </c>
      <c r="B84" s="543"/>
      <c r="C84" s="543"/>
      <c r="D84" s="543"/>
      <c r="E84" s="543"/>
      <c r="F84" s="543"/>
      <c r="G84" s="543"/>
      <c r="H84" s="543"/>
      <c r="I84" s="543"/>
      <c r="J84" s="543"/>
      <c r="K84" s="543"/>
      <c r="L84" s="543"/>
      <c r="M84" s="543"/>
      <c r="N84" s="543"/>
      <c r="O84" s="543"/>
      <c r="P84" s="543"/>
      <c r="Q84" s="543"/>
      <c r="R84" s="543"/>
      <c r="S84" s="543"/>
      <c r="T84" s="543"/>
      <c r="U84" s="543"/>
      <c r="V84" s="543"/>
    </row>
    <row r="85" spans="1:22" s="93" customFormat="1" ht="18.75" customHeight="1">
      <c r="A85" s="543" t="s">
        <v>100</v>
      </c>
      <c r="B85" s="543"/>
      <c r="C85" s="543"/>
      <c r="D85" s="543"/>
      <c r="E85" s="543"/>
      <c r="F85" s="543"/>
      <c r="G85" s="543"/>
      <c r="H85" s="543"/>
      <c r="I85" s="543"/>
      <c r="J85" s="543"/>
      <c r="K85" s="543"/>
      <c r="L85" s="543"/>
      <c r="M85" s="543"/>
      <c r="N85" s="543"/>
      <c r="O85" s="543"/>
      <c r="P85" s="543"/>
      <c r="Q85" s="543"/>
      <c r="R85" s="543"/>
      <c r="S85" s="543"/>
      <c r="T85" s="543"/>
      <c r="U85" s="543"/>
      <c r="V85" s="543"/>
    </row>
    <row r="86" spans="1:22" s="93" customFormat="1" ht="32.25" customHeight="1">
      <c r="A86" s="544" t="s">
        <v>148</v>
      </c>
      <c r="B86" s="544"/>
      <c r="C86" s="544"/>
      <c r="D86" s="544"/>
      <c r="E86" s="544"/>
      <c r="F86" s="544"/>
      <c r="G86" s="544"/>
      <c r="H86" s="544"/>
      <c r="I86" s="544"/>
      <c r="J86" s="544"/>
      <c r="K86" s="544"/>
      <c r="L86" s="544"/>
      <c r="M86" s="544"/>
      <c r="N86" s="544"/>
      <c r="O86" s="544"/>
      <c r="P86" s="544"/>
      <c r="Q86" s="544"/>
      <c r="R86" s="544"/>
      <c r="S86" s="544"/>
      <c r="T86" s="544"/>
      <c r="U86" s="544"/>
      <c r="V86" s="544"/>
    </row>
    <row r="87" spans="1:22" s="93" customFormat="1" ht="18.75" customHeight="1">
      <c r="A87" s="543" t="s">
        <v>149</v>
      </c>
      <c r="B87" s="543"/>
      <c r="C87" s="543"/>
      <c r="D87" s="543"/>
      <c r="E87" s="543"/>
      <c r="F87" s="543"/>
      <c r="G87" s="543"/>
      <c r="H87" s="543"/>
      <c r="I87" s="543"/>
      <c r="J87" s="543"/>
      <c r="K87" s="543"/>
      <c r="L87" s="543"/>
      <c r="M87" s="543"/>
      <c r="N87" s="543"/>
      <c r="O87" s="543"/>
      <c r="P87" s="543"/>
      <c r="Q87" s="543"/>
      <c r="R87" s="543"/>
      <c r="S87" s="543"/>
      <c r="T87" s="543"/>
      <c r="U87" s="543"/>
      <c r="V87" s="543"/>
    </row>
    <row r="88" spans="1:22" s="93" customFormat="1" ht="83.25" customHeight="1">
      <c r="A88" s="544" t="s">
        <v>101</v>
      </c>
      <c r="B88" s="544"/>
      <c r="C88" s="544"/>
      <c r="D88" s="544"/>
      <c r="E88" s="544"/>
      <c r="F88" s="544"/>
      <c r="G88" s="544"/>
      <c r="H88" s="544"/>
      <c r="I88" s="544"/>
      <c r="J88" s="544"/>
      <c r="K88" s="544"/>
      <c r="L88" s="544"/>
      <c r="M88" s="544"/>
      <c r="N88" s="544"/>
      <c r="O88" s="544"/>
      <c r="P88" s="544"/>
      <c r="Q88" s="544"/>
      <c r="R88" s="544"/>
      <c r="S88" s="544"/>
      <c r="T88" s="544"/>
      <c r="U88" s="544"/>
      <c r="V88" s="544"/>
    </row>
  </sheetData>
  <mergeCells count="36">
    <mergeCell ref="A47:V47"/>
    <mergeCell ref="A48:V48"/>
    <mergeCell ref="A49:V49"/>
    <mergeCell ref="A50:V50"/>
    <mergeCell ref="A70:V70"/>
    <mergeCell ref="A71:V71"/>
    <mergeCell ref="A61:V61"/>
    <mergeCell ref="A62:V62"/>
    <mergeCell ref="A64:V64"/>
    <mergeCell ref="A65:V65"/>
    <mergeCell ref="A66:V66"/>
    <mergeCell ref="A67:V67"/>
    <mergeCell ref="A68:V68"/>
    <mergeCell ref="A69:V69"/>
    <mergeCell ref="A72:V72"/>
    <mergeCell ref="A73:V73"/>
    <mergeCell ref="A74:V74"/>
    <mergeCell ref="A75:V75"/>
    <mergeCell ref="A77:V77"/>
    <mergeCell ref="A76:V76"/>
    <mergeCell ref="A78:V78"/>
    <mergeCell ref="A79:V79"/>
    <mergeCell ref="A80:V80"/>
    <mergeCell ref="A81:V81"/>
    <mergeCell ref="A82:V82"/>
    <mergeCell ref="A88:V88"/>
    <mergeCell ref="A83:V83"/>
    <mergeCell ref="A84:V84"/>
    <mergeCell ref="A85:V85"/>
    <mergeCell ref="A86:V86"/>
    <mergeCell ref="A87:V87"/>
    <mergeCell ref="F3:G3"/>
    <mergeCell ref="I3:J3"/>
    <mergeCell ref="L3:M3"/>
    <mergeCell ref="O3:P3"/>
    <mergeCell ref="R3:S3"/>
  </mergeCells>
  <phoneticPr fontId="5" type="noConversion"/>
  <pageMargins left="0.19685039370078741" right="0.19685039370078741" top="0.19685039370078741" bottom="0.19685039370078741"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3"/>
  <sheetViews>
    <sheetView zoomScaleNormal="100" workbookViewId="0"/>
  </sheetViews>
  <sheetFormatPr defaultRowHeight="12.75"/>
  <cols>
    <col min="1" max="1" width="18.7109375" style="501" customWidth="1"/>
    <col min="2" max="2" width="10.28515625" style="40" bestFit="1" customWidth="1"/>
    <col min="3" max="3" width="12.7109375" style="30" customWidth="1"/>
    <col min="4" max="4" width="12.7109375" style="40" customWidth="1"/>
    <col min="5" max="5" width="8.7109375" style="60" customWidth="1"/>
    <col min="6" max="7" width="12.7109375" style="71" customWidth="1"/>
    <col min="8" max="8" width="8.7109375" style="71" customWidth="1"/>
    <col min="9" max="10" width="12.7109375" style="71" customWidth="1"/>
    <col min="11" max="11" width="8.7109375" style="71" customWidth="1"/>
    <col min="12" max="13" width="12.7109375" style="71" customWidth="1"/>
    <col min="14" max="14" width="8.7109375" style="71" customWidth="1"/>
    <col min="15" max="16" width="12.7109375" style="71" customWidth="1"/>
    <col min="17" max="17" width="8.7109375" style="71" customWidth="1"/>
    <col min="18" max="19" width="12.7109375" style="71" customWidth="1"/>
    <col min="20" max="20" width="12.7109375" style="72" customWidth="1"/>
    <col min="21" max="21" width="5" style="40" bestFit="1" customWidth="1"/>
    <col min="22" max="22" width="15.42578125" style="73" customWidth="1"/>
    <col min="23" max="23" width="12.7109375" style="40" hidden="1" customWidth="1"/>
    <col min="24" max="37" width="12.7109375" style="40" customWidth="1"/>
    <col min="38" max="16384" width="9.140625" style="40"/>
  </cols>
  <sheetData>
    <row r="1" spans="1:23" s="41" customFormat="1" ht="30" customHeight="1">
      <c r="A1" s="44" t="s">
        <v>271</v>
      </c>
      <c r="B1" s="44"/>
      <c r="C1" s="508"/>
      <c r="D1" s="45"/>
      <c r="E1" s="46"/>
      <c r="F1" s="47"/>
      <c r="G1" s="47"/>
      <c r="H1" s="47"/>
      <c r="I1" s="47"/>
      <c r="J1" s="47"/>
      <c r="K1" s="47"/>
      <c r="L1" s="47"/>
      <c r="M1" s="47"/>
      <c r="N1" s="47"/>
      <c r="O1" s="47"/>
      <c r="P1" s="47"/>
      <c r="Q1" s="47"/>
      <c r="R1" s="47"/>
      <c r="S1" s="47"/>
      <c r="T1" s="45"/>
      <c r="U1" s="45"/>
      <c r="V1" s="48"/>
    </row>
    <row r="2" spans="1:23" s="41" customFormat="1" ht="30" customHeight="1">
      <c r="A2" s="44" t="s">
        <v>103</v>
      </c>
      <c r="B2" s="44"/>
      <c r="C2" s="508"/>
      <c r="D2" s="45"/>
      <c r="E2" s="46"/>
      <c r="F2" s="47"/>
      <c r="G2" s="47"/>
      <c r="H2" s="47"/>
      <c r="I2" s="47"/>
      <c r="J2" s="47"/>
      <c r="K2" s="47"/>
      <c r="L2" s="47"/>
      <c r="M2" s="47"/>
      <c r="N2" s="47"/>
      <c r="O2" s="47"/>
      <c r="P2" s="47"/>
      <c r="Q2" s="47"/>
      <c r="R2" s="47"/>
      <c r="S2" s="47"/>
      <c r="T2" s="45"/>
      <c r="U2" s="45"/>
      <c r="V2" s="48"/>
    </row>
    <row r="3" spans="1:23" s="41" customFormat="1" ht="30" customHeight="1">
      <c r="A3" s="514"/>
      <c r="B3" s="44"/>
      <c r="C3" s="508"/>
      <c r="D3" s="45"/>
      <c r="E3" s="46"/>
      <c r="F3" s="536" t="s">
        <v>248</v>
      </c>
      <c r="G3" s="537"/>
      <c r="H3" s="47"/>
      <c r="I3" s="536" t="s">
        <v>248</v>
      </c>
      <c r="J3" s="537"/>
      <c r="K3" s="47"/>
      <c r="L3" s="536" t="s">
        <v>248</v>
      </c>
      <c r="M3" s="537"/>
      <c r="N3" s="47"/>
      <c r="O3" s="536" t="s">
        <v>248</v>
      </c>
      <c r="P3" s="537"/>
      <c r="Q3" s="47"/>
      <c r="R3" s="536" t="s">
        <v>248</v>
      </c>
      <c r="S3" s="537"/>
      <c r="T3" s="45"/>
      <c r="U3" s="45"/>
      <c r="V3" s="48"/>
    </row>
    <row r="4" spans="1:23" ht="48.75" customHeight="1">
      <c r="A4" s="515" t="s">
        <v>3</v>
      </c>
      <c r="B4" s="209" t="s">
        <v>231</v>
      </c>
      <c r="C4" s="264" t="s">
        <v>1</v>
      </c>
      <c r="D4" s="251"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75" customHeight="1">
      <c r="A5" s="227" t="s">
        <v>33</v>
      </c>
      <c r="B5" s="495">
        <v>0</v>
      </c>
      <c r="C5" s="265" t="s">
        <v>250</v>
      </c>
      <c r="D5" s="252" t="s">
        <v>5</v>
      </c>
      <c r="E5" s="229" t="s">
        <v>5</v>
      </c>
      <c r="F5" s="230" t="s">
        <v>5</v>
      </c>
      <c r="G5" s="231" t="s">
        <v>5</v>
      </c>
      <c r="H5" s="232"/>
      <c r="I5" s="230"/>
      <c r="J5" s="231"/>
      <c r="K5" s="232"/>
      <c r="L5" s="230"/>
      <c r="M5" s="231"/>
      <c r="N5" s="232"/>
      <c r="O5" s="230"/>
      <c r="P5" s="231"/>
      <c r="Q5" s="232"/>
      <c r="R5" s="230"/>
      <c r="S5" s="231"/>
      <c r="T5" s="233" t="s">
        <v>5</v>
      </c>
      <c r="U5" s="228" t="s">
        <v>5</v>
      </c>
      <c r="V5" s="234" t="s">
        <v>5</v>
      </c>
      <c r="W5" s="40" t="str">
        <f>IF(U5="TY","A",IF(U5="TY/TYs","AB",IF(U5="TYs", "B",IF(U5="TC","C",IF(U5="-","",)))))</f>
        <v/>
      </c>
    </row>
    <row r="6" spans="1:23" ht="15.75" customHeight="1">
      <c r="A6" s="235" t="s">
        <v>50</v>
      </c>
      <c r="B6" s="253">
        <v>1</v>
      </c>
      <c r="C6" s="266" t="s">
        <v>7</v>
      </c>
      <c r="D6" s="254" t="s">
        <v>5</v>
      </c>
      <c r="E6" s="143">
        <v>0</v>
      </c>
      <c r="F6" s="133">
        <v>0</v>
      </c>
      <c r="G6" s="134">
        <f>14*405.98</f>
        <v>5683.72</v>
      </c>
      <c r="H6" s="143">
        <f>((0.0395+0.1025)*100)+(0.5+0.5)*6/7</f>
        <v>15.057142857142857</v>
      </c>
      <c r="I6" s="133">
        <f>G6</f>
        <v>5683.72</v>
      </c>
      <c r="J6" s="134">
        <f>1280*14</f>
        <v>17920</v>
      </c>
      <c r="K6" s="143">
        <f>((0.0395+0.1025)*100)+(0.5+0.5)*6/7+1</f>
        <v>16.057142857142857</v>
      </c>
      <c r="L6" s="133">
        <f>J6</f>
        <v>17920</v>
      </c>
      <c r="M6" s="134">
        <f>1396*14</f>
        <v>19544</v>
      </c>
      <c r="N6" s="143">
        <f>((0.0395+0.1025)*100)+(0.5+0.5)*6/7+2</f>
        <v>17.057142857142857</v>
      </c>
      <c r="O6" s="133">
        <f>M6</f>
        <v>19544</v>
      </c>
      <c r="P6" s="134">
        <f>1571*14</f>
        <v>21994</v>
      </c>
      <c r="Q6" s="143">
        <f>((0.0395+0.1025)*100)+(0.5+0.5)*6/7+3</f>
        <v>18.057142857142857</v>
      </c>
      <c r="R6" s="133">
        <f>P6</f>
        <v>21994</v>
      </c>
      <c r="S6" s="134">
        <f>4650*14</f>
        <v>65100</v>
      </c>
      <c r="T6" s="189">
        <f>S6*Q6/100</f>
        <v>11755.2</v>
      </c>
      <c r="U6" s="62" t="s">
        <v>6</v>
      </c>
      <c r="V6" s="236">
        <v>100</v>
      </c>
      <c r="W6" s="40" t="str">
        <f>IF(U6="TY","A",IF(U6="TY/TYs","AB",IF(U6="TYs", "B",IF(U6="TC","C",IF(U6="-","",)))))</f>
        <v>A</v>
      </c>
    </row>
    <row r="7" spans="1:23" ht="15.75" customHeight="1">
      <c r="A7" s="235" t="s">
        <v>26</v>
      </c>
      <c r="B7" s="253">
        <v>1</v>
      </c>
      <c r="C7" s="267" t="s">
        <v>7</v>
      </c>
      <c r="D7" s="254" t="s">
        <v>5</v>
      </c>
      <c r="E7" s="143">
        <f>(0.0087+0.0115+0.0355+0.075)*100</f>
        <v>13.069999999999999</v>
      </c>
      <c r="F7" s="218" t="s">
        <v>5</v>
      </c>
      <c r="G7" s="142" t="s">
        <v>5</v>
      </c>
      <c r="H7" s="121" t="s">
        <v>5</v>
      </c>
      <c r="I7" s="218" t="s">
        <v>5</v>
      </c>
      <c r="J7" s="142" t="s">
        <v>5</v>
      </c>
      <c r="K7" s="121" t="s">
        <v>5</v>
      </c>
      <c r="L7" s="218" t="s">
        <v>5</v>
      </c>
      <c r="M7" s="142" t="s">
        <v>5</v>
      </c>
      <c r="N7" s="121" t="s">
        <v>5</v>
      </c>
      <c r="O7" s="218" t="s">
        <v>5</v>
      </c>
      <c r="P7" s="142" t="s">
        <v>5</v>
      </c>
      <c r="Q7" s="121" t="s">
        <v>5</v>
      </c>
      <c r="R7" s="218" t="s">
        <v>5</v>
      </c>
      <c r="S7" s="142" t="s">
        <v>5</v>
      </c>
      <c r="T7" s="188" t="s">
        <v>5</v>
      </c>
      <c r="U7" s="62" t="s">
        <v>6</v>
      </c>
      <c r="V7" s="236">
        <v>100</v>
      </c>
      <c r="W7" s="40" t="str">
        <f t="shared" ref="W7:W44" si="0">IF(U7="TY","A",IF(U7="TY/TYs","AB",IF(U7="TYs", "B",IF(U7="TC","C",IF(U7="-","",)))))</f>
        <v>A</v>
      </c>
    </row>
    <row r="8" spans="1:23" ht="15.75" customHeight="1">
      <c r="A8" s="235" t="s">
        <v>49</v>
      </c>
      <c r="B8" s="253">
        <v>1</v>
      </c>
      <c r="C8" s="267" t="s">
        <v>8</v>
      </c>
      <c r="D8" s="254" t="s">
        <v>5</v>
      </c>
      <c r="E8" s="143">
        <f>0.0188*100</f>
        <v>1.8800000000000001</v>
      </c>
      <c r="F8" s="133">
        <v>0</v>
      </c>
      <c r="G8" s="134">
        <v>3500</v>
      </c>
      <c r="H8" s="143">
        <f>E8+(0.0495*100)</f>
        <v>6.83</v>
      </c>
      <c r="I8" s="133">
        <f>G8</f>
        <v>3500</v>
      </c>
      <c r="J8" s="134">
        <f>930.6/0.0188</f>
        <v>49500</v>
      </c>
      <c r="K8" s="143">
        <f>0.0495*100</f>
        <v>4.95</v>
      </c>
      <c r="L8" s="133">
        <f>J8</f>
        <v>49500</v>
      </c>
      <c r="M8" s="134">
        <f>(2479.95/0.0495)+3500</f>
        <v>53599.999999999993</v>
      </c>
      <c r="N8" s="120" t="s">
        <v>5</v>
      </c>
      <c r="O8" s="219" t="s">
        <v>5</v>
      </c>
      <c r="P8" s="180" t="s">
        <v>5</v>
      </c>
      <c r="Q8" s="120" t="s">
        <v>5</v>
      </c>
      <c r="R8" s="219" t="s">
        <v>5</v>
      </c>
      <c r="S8" s="180" t="s">
        <v>5</v>
      </c>
      <c r="T8" s="189">
        <f>(G8-F8)*E8/100 + (J8-I8)*H8/100 + (M8-L8)*K8/100</f>
        <v>3410.55</v>
      </c>
      <c r="U8" s="67" t="s">
        <v>5</v>
      </c>
      <c r="V8" s="237" t="s">
        <v>5</v>
      </c>
      <c r="W8" s="40" t="str">
        <f t="shared" si="0"/>
        <v/>
      </c>
    </row>
    <row r="9" spans="1:23" ht="15.75" customHeight="1">
      <c r="A9" s="235" t="s">
        <v>66</v>
      </c>
      <c r="B9" s="253">
        <v>1</v>
      </c>
      <c r="C9" s="267" t="s">
        <v>7</v>
      </c>
      <c r="D9" s="254" t="s">
        <v>5</v>
      </c>
      <c r="E9" s="143">
        <f>0.07*100</f>
        <v>7.0000000000000009</v>
      </c>
      <c r="F9" s="133">
        <v>0</v>
      </c>
      <c r="G9" s="134">
        <f>22012186/12</f>
        <v>1834348.8333333333</v>
      </c>
      <c r="H9" s="120" t="s">
        <v>5</v>
      </c>
      <c r="I9" s="219" t="s">
        <v>5</v>
      </c>
      <c r="J9" s="180" t="s">
        <v>5</v>
      </c>
      <c r="K9" s="120" t="s">
        <v>5</v>
      </c>
      <c r="L9" s="219" t="s">
        <v>5</v>
      </c>
      <c r="M9" s="180" t="s">
        <v>5</v>
      </c>
      <c r="N9" s="120" t="s">
        <v>5</v>
      </c>
      <c r="O9" s="219" t="s">
        <v>5</v>
      </c>
      <c r="P9" s="180" t="s">
        <v>5</v>
      </c>
      <c r="Q9" s="120" t="s">
        <v>5</v>
      </c>
      <c r="R9" s="219" t="s">
        <v>5</v>
      </c>
      <c r="S9" s="180" t="s">
        <v>5</v>
      </c>
      <c r="T9" s="189">
        <f>+E9/100*G9</f>
        <v>128404.41833333333</v>
      </c>
      <c r="U9" s="62" t="s">
        <v>5</v>
      </c>
      <c r="V9" s="237" t="s">
        <v>5</v>
      </c>
      <c r="W9" s="40" t="str">
        <f t="shared" si="0"/>
        <v/>
      </c>
    </row>
    <row r="10" spans="1:23" ht="15.75" customHeight="1">
      <c r="A10" s="235" t="s">
        <v>22</v>
      </c>
      <c r="B10" s="253">
        <v>1</v>
      </c>
      <c r="C10" s="266" t="s">
        <v>7</v>
      </c>
      <c r="D10" s="255" t="s">
        <v>5</v>
      </c>
      <c r="E10" s="135">
        <v>4.5</v>
      </c>
      <c r="F10" s="133" t="s">
        <v>5</v>
      </c>
      <c r="G10" s="180" t="s">
        <v>5</v>
      </c>
      <c r="H10" s="120" t="s">
        <v>5</v>
      </c>
      <c r="I10" s="219" t="s">
        <v>5</v>
      </c>
      <c r="J10" s="180" t="s">
        <v>5</v>
      </c>
      <c r="K10" s="120" t="s">
        <v>5</v>
      </c>
      <c r="L10" s="219" t="s">
        <v>5</v>
      </c>
      <c r="M10" s="180" t="s">
        <v>5</v>
      </c>
      <c r="N10" s="120" t="s">
        <v>5</v>
      </c>
      <c r="O10" s="219" t="s">
        <v>5</v>
      </c>
      <c r="P10" s="180" t="s">
        <v>5</v>
      </c>
      <c r="Q10" s="120" t="s">
        <v>5</v>
      </c>
      <c r="R10" s="219" t="s">
        <v>5</v>
      </c>
      <c r="S10" s="180" t="s">
        <v>5</v>
      </c>
      <c r="T10" s="188" t="s">
        <v>5</v>
      </c>
      <c r="U10" s="61" t="s">
        <v>5</v>
      </c>
      <c r="V10" s="238" t="s">
        <v>5</v>
      </c>
      <c r="W10" s="40" t="str">
        <f t="shared" si="0"/>
        <v/>
      </c>
    </row>
    <row r="11" spans="1:23" ht="15.75" customHeight="1">
      <c r="A11" s="235" t="s">
        <v>22</v>
      </c>
      <c r="B11" s="253">
        <v>2</v>
      </c>
      <c r="C11" s="266" t="s">
        <v>7</v>
      </c>
      <c r="D11" s="255" t="s">
        <v>5</v>
      </c>
      <c r="E11" s="135">
        <v>6.5</v>
      </c>
      <c r="F11" s="133">
        <v>0</v>
      </c>
      <c r="G11" s="134">
        <f>1277328/12</f>
        <v>106444</v>
      </c>
      <c r="H11" s="120" t="s">
        <v>5</v>
      </c>
      <c r="I11" s="219" t="s">
        <v>5</v>
      </c>
      <c r="J11" s="180" t="s">
        <v>5</v>
      </c>
      <c r="K11" s="120" t="s">
        <v>5</v>
      </c>
      <c r="L11" s="219" t="s">
        <v>5</v>
      </c>
      <c r="M11" s="180" t="s">
        <v>5</v>
      </c>
      <c r="N11" s="120" t="s">
        <v>5</v>
      </c>
      <c r="O11" s="219" t="s">
        <v>5</v>
      </c>
      <c r="P11" s="180" t="s">
        <v>5</v>
      </c>
      <c r="Q11" s="120" t="s">
        <v>5</v>
      </c>
      <c r="R11" s="219" t="s">
        <v>5</v>
      </c>
      <c r="S11" s="180" t="s">
        <v>5</v>
      </c>
      <c r="T11" s="189">
        <f>G11*(E11/100)</f>
        <v>6918.8600000000006</v>
      </c>
      <c r="U11" s="61" t="s">
        <v>5</v>
      </c>
      <c r="V11" s="238" t="s">
        <v>5</v>
      </c>
      <c r="W11" s="40" t="str">
        <f t="shared" si="0"/>
        <v/>
      </c>
    </row>
    <row r="12" spans="1:23" ht="15.75" customHeight="1">
      <c r="A12" s="235" t="s">
        <v>67</v>
      </c>
      <c r="B12" s="253">
        <v>1</v>
      </c>
      <c r="C12" s="267" t="s">
        <v>8</v>
      </c>
      <c r="D12" s="256">
        <v>1080</v>
      </c>
      <c r="E12" s="207" t="s">
        <v>5</v>
      </c>
      <c r="F12" s="219" t="s">
        <v>5</v>
      </c>
      <c r="G12" s="142" t="s">
        <v>5</v>
      </c>
      <c r="H12" s="121" t="s">
        <v>5</v>
      </c>
      <c r="I12" s="218" t="s">
        <v>5</v>
      </c>
      <c r="J12" s="142" t="s">
        <v>5</v>
      </c>
      <c r="K12" s="121" t="s">
        <v>5</v>
      </c>
      <c r="L12" s="218" t="s">
        <v>5</v>
      </c>
      <c r="M12" s="142" t="s">
        <v>5</v>
      </c>
      <c r="N12" s="121" t="s">
        <v>5</v>
      </c>
      <c r="O12" s="218" t="s">
        <v>5</v>
      </c>
      <c r="P12" s="142" t="s">
        <v>5</v>
      </c>
      <c r="Q12" s="121" t="s">
        <v>5</v>
      </c>
      <c r="R12" s="218" t="s">
        <v>5</v>
      </c>
      <c r="S12" s="142" t="s">
        <v>5</v>
      </c>
      <c r="T12" s="188" t="s">
        <v>5</v>
      </c>
      <c r="U12" s="62" t="s">
        <v>6</v>
      </c>
      <c r="V12" s="237">
        <v>100</v>
      </c>
      <c r="W12" s="40" t="str">
        <f t="shared" si="0"/>
        <v>A</v>
      </c>
    </row>
    <row r="13" spans="1:23" ht="15.75" customHeight="1">
      <c r="A13" s="235" t="s">
        <v>58</v>
      </c>
      <c r="B13" s="253">
        <v>1</v>
      </c>
      <c r="C13" s="267" t="s">
        <v>7</v>
      </c>
      <c r="D13" s="254" t="s">
        <v>5</v>
      </c>
      <c r="E13" s="143">
        <f>0.016*100</f>
        <v>1.6</v>
      </c>
      <c r="F13" s="219" t="s">
        <v>5</v>
      </c>
      <c r="G13" s="142" t="s">
        <v>5</v>
      </c>
      <c r="H13" s="121" t="s">
        <v>5</v>
      </c>
      <c r="I13" s="218" t="s">
        <v>5</v>
      </c>
      <c r="J13" s="142" t="s">
        <v>5</v>
      </c>
      <c r="K13" s="121" t="s">
        <v>5</v>
      </c>
      <c r="L13" s="218" t="s">
        <v>5</v>
      </c>
      <c r="M13" s="142" t="s">
        <v>5</v>
      </c>
      <c r="N13" s="121" t="s">
        <v>5</v>
      </c>
      <c r="O13" s="218" t="s">
        <v>5</v>
      </c>
      <c r="P13" s="142" t="s">
        <v>5</v>
      </c>
      <c r="Q13" s="121" t="s">
        <v>5</v>
      </c>
      <c r="R13" s="218" t="s">
        <v>5</v>
      </c>
      <c r="S13" s="142" t="s">
        <v>5</v>
      </c>
      <c r="T13" s="188" t="s">
        <v>5</v>
      </c>
      <c r="U13" s="62" t="s">
        <v>6</v>
      </c>
      <c r="V13" s="236">
        <v>100</v>
      </c>
      <c r="W13" s="40" t="str">
        <f t="shared" si="0"/>
        <v>A</v>
      </c>
    </row>
    <row r="14" spans="1:23" ht="15.75" customHeight="1">
      <c r="A14" s="235" t="s">
        <v>56</v>
      </c>
      <c r="B14" s="253">
        <v>1</v>
      </c>
      <c r="C14" s="267" t="s">
        <v>10</v>
      </c>
      <c r="D14" s="257" t="s">
        <v>5</v>
      </c>
      <c r="E14" s="143">
        <f>0.0132*100</f>
        <v>1.32</v>
      </c>
      <c r="F14" s="219" t="s">
        <v>5</v>
      </c>
      <c r="G14" s="140" t="s">
        <v>5</v>
      </c>
      <c r="H14" s="121" t="s">
        <v>5</v>
      </c>
      <c r="I14" s="218" t="s">
        <v>5</v>
      </c>
      <c r="J14" s="142" t="s">
        <v>5</v>
      </c>
      <c r="K14" s="121" t="s">
        <v>5</v>
      </c>
      <c r="L14" s="218" t="s">
        <v>5</v>
      </c>
      <c r="M14" s="142" t="s">
        <v>5</v>
      </c>
      <c r="N14" s="121" t="s">
        <v>5</v>
      </c>
      <c r="O14" s="218" t="s">
        <v>5</v>
      </c>
      <c r="P14" s="142" t="s">
        <v>5</v>
      </c>
      <c r="Q14" s="121" t="s">
        <v>5</v>
      </c>
      <c r="R14" s="218" t="s">
        <v>5</v>
      </c>
      <c r="S14" s="142" t="s">
        <v>5</v>
      </c>
      <c r="T14" s="189" t="s">
        <v>5</v>
      </c>
      <c r="U14" s="62" t="s">
        <v>5</v>
      </c>
      <c r="V14" s="236" t="s">
        <v>5</v>
      </c>
      <c r="W14" s="40" t="str">
        <f t="shared" si="0"/>
        <v/>
      </c>
    </row>
    <row r="15" spans="1:23" ht="15.75" customHeight="1">
      <c r="A15" s="235" t="s">
        <v>56</v>
      </c>
      <c r="B15" s="253">
        <v>2</v>
      </c>
      <c r="C15" s="267" t="s">
        <v>8</v>
      </c>
      <c r="D15" s="257" t="s">
        <v>5</v>
      </c>
      <c r="E15" s="143">
        <f>0.0713*100</f>
        <v>7.13</v>
      </c>
      <c r="F15" s="219" t="s">
        <v>5</v>
      </c>
      <c r="G15" s="140" t="s">
        <v>5</v>
      </c>
      <c r="H15" s="121" t="s">
        <v>5</v>
      </c>
      <c r="I15" s="218" t="s">
        <v>5</v>
      </c>
      <c r="J15" s="142" t="s">
        <v>5</v>
      </c>
      <c r="K15" s="121" t="s">
        <v>5</v>
      </c>
      <c r="L15" s="218" t="s">
        <v>5</v>
      </c>
      <c r="M15" s="142" t="s">
        <v>5</v>
      </c>
      <c r="N15" s="121" t="s">
        <v>5</v>
      </c>
      <c r="O15" s="218" t="s">
        <v>5</v>
      </c>
      <c r="P15" s="142" t="s">
        <v>5</v>
      </c>
      <c r="Q15" s="121" t="s">
        <v>5</v>
      </c>
      <c r="R15" s="218" t="s">
        <v>5</v>
      </c>
      <c r="S15" s="142" t="s">
        <v>5</v>
      </c>
      <c r="T15" s="189" t="s">
        <v>5</v>
      </c>
      <c r="U15" s="62" t="s">
        <v>6</v>
      </c>
      <c r="V15" s="236">
        <v>100</v>
      </c>
      <c r="W15" s="40" t="str">
        <f t="shared" si="0"/>
        <v>A</v>
      </c>
    </row>
    <row r="16" spans="1:23" ht="15.75" customHeight="1">
      <c r="A16" s="235" t="s">
        <v>48</v>
      </c>
      <c r="B16" s="253">
        <v>1</v>
      </c>
      <c r="C16" s="267" t="s">
        <v>8</v>
      </c>
      <c r="D16" s="254" t="s">
        <v>5</v>
      </c>
      <c r="E16" s="143">
        <f>(0.0685+0.0075+0.024+0.039+0.003)*100</f>
        <v>14.200000000000001</v>
      </c>
      <c r="F16" s="133">
        <v>0</v>
      </c>
      <c r="G16" s="134">
        <v>38040</v>
      </c>
      <c r="H16" s="143">
        <f>(0.0075+0.024+0.09+0.003)*100</f>
        <v>12.45</v>
      </c>
      <c r="I16" s="133">
        <f>G16</f>
        <v>38040</v>
      </c>
      <c r="J16" s="134">
        <f>3*G16</f>
        <v>114120</v>
      </c>
      <c r="K16" s="143">
        <f>(0.0075+0.024+0.003)*100</f>
        <v>3.45</v>
      </c>
      <c r="L16" s="133">
        <f>J16</f>
        <v>114120</v>
      </c>
      <c r="M16" s="134">
        <f>4*G16</f>
        <v>152160</v>
      </c>
      <c r="N16" s="143">
        <f>(0.0075+0.003)*100</f>
        <v>1.0499999999999998</v>
      </c>
      <c r="O16" s="133">
        <f>M16</f>
        <v>152160</v>
      </c>
      <c r="P16" s="180" t="s">
        <v>5</v>
      </c>
      <c r="Q16" s="120" t="s">
        <v>5</v>
      </c>
      <c r="R16" s="219" t="s">
        <v>5</v>
      </c>
      <c r="S16" s="180" t="s">
        <v>5</v>
      </c>
      <c r="T16" s="188" t="s">
        <v>5</v>
      </c>
      <c r="U16" s="62" t="s">
        <v>6</v>
      </c>
      <c r="V16" s="236">
        <v>100</v>
      </c>
      <c r="W16" s="40" t="str">
        <f t="shared" si="0"/>
        <v>A</v>
      </c>
    </row>
    <row r="17" spans="1:23" ht="15.75" customHeight="1">
      <c r="A17" s="235" t="s">
        <v>54</v>
      </c>
      <c r="B17" s="253">
        <v>1</v>
      </c>
      <c r="C17" s="267" t="s">
        <v>8</v>
      </c>
      <c r="D17" s="254" t="s">
        <v>5</v>
      </c>
      <c r="E17" s="143">
        <f>(0.0935+0.082+0.015+0.01175)*100</f>
        <v>20.225000000000001</v>
      </c>
      <c r="F17" s="133">
        <v>0</v>
      </c>
      <c r="G17" s="134">
        <v>49500</v>
      </c>
      <c r="H17" s="143">
        <f>(0.0935+0.015)*100</f>
        <v>10.85</v>
      </c>
      <c r="I17" s="133">
        <f>G17</f>
        <v>49500</v>
      </c>
      <c r="J17" s="134">
        <v>72600</v>
      </c>
      <c r="K17" s="120" t="s">
        <v>5</v>
      </c>
      <c r="L17" s="219" t="s">
        <v>5</v>
      </c>
      <c r="M17" s="180" t="s">
        <v>5</v>
      </c>
      <c r="N17" s="120" t="s">
        <v>5</v>
      </c>
      <c r="O17" s="219" t="s">
        <v>5</v>
      </c>
      <c r="P17" s="180" t="s">
        <v>5</v>
      </c>
      <c r="Q17" s="120" t="s">
        <v>5</v>
      </c>
      <c r="R17" s="219" t="s">
        <v>5</v>
      </c>
      <c r="S17" s="180" t="s">
        <v>5</v>
      </c>
      <c r="T17" s="189">
        <f>(G17-F17)*E17/100 + (J17-I17)*H17/100</f>
        <v>12517.725000000002</v>
      </c>
      <c r="U17" s="62" t="s">
        <v>6</v>
      </c>
      <c r="V17" s="237" t="s">
        <v>218</v>
      </c>
      <c r="W17" s="40" t="str">
        <f t="shared" si="0"/>
        <v>A</v>
      </c>
    </row>
    <row r="18" spans="1:23" ht="15.75" customHeight="1">
      <c r="A18" s="235" t="s">
        <v>53</v>
      </c>
      <c r="B18" s="253">
        <v>1</v>
      </c>
      <c r="C18" s="267" t="s">
        <v>7</v>
      </c>
      <c r="D18" s="257" t="s">
        <v>5</v>
      </c>
      <c r="E18" s="143">
        <f>0.155*100</f>
        <v>15.5</v>
      </c>
      <c r="F18" s="133">
        <v>0</v>
      </c>
      <c r="G18" s="134">
        <f>77655.2/14</f>
        <v>5546.8</v>
      </c>
      <c r="H18" s="120" t="s">
        <v>5</v>
      </c>
      <c r="I18" s="219" t="s">
        <v>5</v>
      </c>
      <c r="J18" s="180" t="s">
        <v>5</v>
      </c>
      <c r="K18" s="120" t="s">
        <v>5</v>
      </c>
      <c r="L18" s="219" t="s">
        <v>5</v>
      </c>
      <c r="M18" s="180" t="s">
        <v>5</v>
      </c>
      <c r="N18" s="120" t="s">
        <v>5</v>
      </c>
      <c r="O18" s="219" t="s">
        <v>5</v>
      </c>
      <c r="P18" s="180" t="s">
        <v>5</v>
      </c>
      <c r="Q18" s="120" t="s">
        <v>5</v>
      </c>
      <c r="R18" s="219" t="s">
        <v>5</v>
      </c>
      <c r="S18" s="180" t="s">
        <v>5</v>
      </c>
      <c r="T18" s="189">
        <f>G18*E18/100</f>
        <v>859.75400000000013</v>
      </c>
      <c r="U18" s="62" t="s">
        <v>6</v>
      </c>
      <c r="V18" s="236">
        <v>100</v>
      </c>
      <c r="W18" s="40" t="str">
        <f t="shared" si="0"/>
        <v>A</v>
      </c>
    </row>
    <row r="19" spans="1:23" ht="15.75" customHeight="1">
      <c r="A19" s="235" t="s">
        <v>23</v>
      </c>
      <c r="B19" s="253">
        <v>1</v>
      </c>
      <c r="C19" s="267" t="s">
        <v>8</v>
      </c>
      <c r="D19" s="254" t="s">
        <v>5</v>
      </c>
      <c r="E19" s="143">
        <f>(0.015+0.07+0.1)*100</f>
        <v>18.5</v>
      </c>
      <c r="F19" s="219" t="s">
        <v>5</v>
      </c>
      <c r="G19" s="134" t="s">
        <v>5</v>
      </c>
      <c r="H19" s="120" t="s">
        <v>5</v>
      </c>
      <c r="I19" s="219" t="s">
        <v>5</v>
      </c>
      <c r="J19" s="180" t="s">
        <v>5</v>
      </c>
      <c r="K19" s="120" t="s">
        <v>5</v>
      </c>
      <c r="L19" s="219" t="s">
        <v>5</v>
      </c>
      <c r="M19" s="180" t="s">
        <v>5</v>
      </c>
      <c r="N19" s="120" t="s">
        <v>5</v>
      </c>
      <c r="O19" s="219" t="s">
        <v>5</v>
      </c>
      <c r="P19" s="180" t="s">
        <v>5</v>
      </c>
      <c r="Q19" s="120" t="s">
        <v>5</v>
      </c>
      <c r="R19" s="219" t="s">
        <v>5</v>
      </c>
      <c r="S19" s="180" t="s">
        <v>5</v>
      </c>
      <c r="T19" s="188" t="s">
        <v>5</v>
      </c>
      <c r="U19" s="239" t="s">
        <v>5</v>
      </c>
      <c r="V19" s="237" t="s">
        <v>5</v>
      </c>
      <c r="W19" s="40" t="str">
        <f t="shared" si="0"/>
        <v/>
      </c>
    </row>
    <row r="20" spans="1:23" ht="15.75" customHeight="1">
      <c r="A20" s="235" t="s">
        <v>68</v>
      </c>
      <c r="B20" s="253">
        <v>1</v>
      </c>
      <c r="C20" s="266" t="s">
        <v>6</v>
      </c>
      <c r="D20" s="256">
        <v>26864</v>
      </c>
      <c r="E20" s="143" t="s">
        <v>24</v>
      </c>
      <c r="F20" s="133">
        <v>1637597.855227882</v>
      </c>
      <c r="G20" s="134" t="s">
        <v>24</v>
      </c>
      <c r="H20" s="120" t="s">
        <v>5</v>
      </c>
      <c r="I20" s="219" t="s">
        <v>5</v>
      </c>
      <c r="J20" s="180" t="s">
        <v>5</v>
      </c>
      <c r="K20" s="120" t="s">
        <v>5</v>
      </c>
      <c r="L20" s="219" t="s">
        <v>5</v>
      </c>
      <c r="M20" s="180" t="s">
        <v>5</v>
      </c>
      <c r="N20" s="120" t="s">
        <v>5</v>
      </c>
      <c r="O20" s="219" t="s">
        <v>5</v>
      </c>
      <c r="P20" s="180" t="s">
        <v>5</v>
      </c>
      <c r="Q20" s="120" t="s">
        <v>5</v>
      </c>
      <c r="R20" s="219" t="s">
        <v>5</v>
      </c>
      <c r="S20" s="180" t="s">
        <v>5</v>
      </c>
      <c r="T20" s="189" t="s">
        <v>24</v>
      </c>
      <c r="U20" s="67" t="s">
        <v>5</v>
      </c>
      <c r="V20" s="237" t="s">
        <v>5</v>
      </c>
      <c r="W20" s="40" t="str">
        <f t="shared" si="0"/>
        <v/>
      </c>
    </row>
    <row r="21" spans="1:23" ht="15.75" customHeight="1">
      <c r="A21" s="235" t="s">
        <v>68</v>
      </c>
      <c r="B21" s="253">
        <v>2</v>
      </c>
      <c r="C21" s="266" t="s">
        <v>8</v>
      </c>
      <c r="D21" s="258" t="s">
        <v>5</v>
      </c>
      <c r="E21" s="143">
        <f>(0.04+0.04)*100</f>
        <v>8</v>
      </c>
      <c r="F21" s="133" t="s">
        <v>5</v>
      </c>
      <c r="G21" s="134" t="s">
        <v>5</v>
      </c>
      <c r="H21" s="120" t="s">
        <v>5</v>
      </c>
      <c r="I21" s="219" t="s">
        <v>5</v>
      </c>
      <c r="J21" s="180" t="s">
        <v>5</v>
      </c>
      <c r="K21" s="120" t="s">
        <v>5</v>
      </c>
      <c r="L21" s="219" t="s">
        <v>5</v>
      </c>
      <c r="M21" s="180" t="s">
        <v>5</v>
      </c>
      <c r="N21" s="120" t="s">
        <v>5</v>
      </c>
      <c r="O21" s="219" t="s">
        <v>5</v>
      </c>
      <c r="P21" s="180" t="s">
        <v>5</v>
      </c>
      <c r="Q21" s="120" t="s">
        <v>5</v>
      </c>
      <c r="R21" s="219" t="s">
        <v>5</v>
      </c>
      <c r="S21" s="180" t="s">
        <v>5</v>
      </c>
      <c r="T21" s="188" t="s">
        <v>5</v>
      </c>
      <c r="U21" s="62" t="s">
        <v>6</v>
      </c>
      <c r="V21" s="236">
        <v>100</v>
      </c>
      <c r="W21" s="40" t="str">
        <f t="shared" si="0"/>
        <v>A</v>
      </c>
    </row>
    <row r="22" spans="1:23" ht="15.75" customHeight="1">
      <c r="A22" s="235" t="s">
        <v>92</v>
      </c>
      <c r="B22" s="253">
        <v>1</v>
      </c>
      <c r="C22" s="267" t="s">
        <v>8</v>
      </c>
      <c r="D22" s="258" t="s">
        <v>5</v>
      </c>
      <c r="E22" s="143">
        <f>0.04*100</f>
        <v>4</v>
      </c>
      <c r="F22" s="220" t="s">
        <v>77</v>
      </c>
      <c r="G22" s="142" t="s">
        <v>5</v>
      </c>
      <c r="H22" s="121" t="s">
        <v>5</v>
      </c>
      <c r="I22" s="218" t="s">
        <v>5</v>
      </c>
      <c r="J22" s="142" t="s">
        <v>5</v>
      </c>
      <c r="K22" s="121" t="s">
        <v>5</v>
      </c>
      <c r="L22" s="218" t="s">
        <v>5</v>
      </c>
      <c r="M22" s="142" t="s">
        <v>5</v>
      </c>
      <c r="N22" s="121" t="s">
        <v>5</v>
      </c>
      <c r="O22" s="218" t="s">
        <v>5</v>
      </c>
      <c r="P22" s="142" t="s">
        <v>5</v>
      </c>
      <c r="Q22" s="121" t="s">
        <v>5</v>
      </c>
      <c r="R22" s="218" t="s">
        <v>5</v>
      </c>
      <c r="S22" s="142" t="s">
        <v>5</v>
      </c>
      <c r="T22" s="188" t="s">
        <v>5</v>
      </c>
      <c r="U22" s="35" t="s">
        <v>5</v>
      </c>
      <c r="V22" s="240" t="s">
        <v>5</v>
      </c>
      <c r="W22" s="40" t="str">
        <f t="shared" si="0"/>
        <v/>
      </c>
    </row>
    <row r="23" spans="1:23" ht="15.75" customHeight="1">
      <c r="A23" s="235" t="s">
        <v>69</v>
      </c>
      <c r="B23" s="253">
        <v>1</v>
      </c>
      <c r="C23" s="267" t="s">
        <v>7</v>
      </c>
      <c r="D23" s="254" t="s">
        <v>5</v>
      </c>
      <c r="E23" s="143">
        <f>0.035*100</f>
        <v>3.5000000000000004</v>
      </c>
      <c r="F23" s="133">
        <v>0</v>
      </c>
      <c r="G23" s="140">
        <f>66672/12</f>
        <v>5556</v>
      </c>
      <c r="H23" s="143">
        <v>12</v>
      </c>
      <c r="I23" s="139">
        <f>G23</f>
        <v>5556</v>
      </c>
      <c r="J23" s="140">
        <f>518880/12</f>
        <v>43240</v>
      </c>
      <c r="K23" s="121" t="s">
        <v>5</v>
      </c>
      <c r="L23" s="218" t="s">
        <v>5</v>
      </c>
      <c r="M23" s="142" t="s">
        <v>5</v>
      </c>
      <c r="N23" s="121" t="s">
        <v>5</v>
      </c>
      <c r="O23" s="218" t="s">
        <v>5</v>
      </c>
      <c r="P23" s="142" t="s">
        <v>5</v>
      </c>
      <c r="Q23" s="121" t="s">
        <v>5</v>
      </c>
      <c r="R23" s="218" t="s">
        <v>5</v>
      </c>
      <c r="S23" s="142" t="s">
        <v>5</v>
      </c>
      <c r="T23" s="189">
        <f>+E23/100*G23+H23/100*(J23-I23)</f>
        <v>4716.54</v>
      </c>
      <c r="U23" s="67" t="s">
        <v>5</v>
      </c>
      <c r="V23" s="237" t="s">
        <v>5</v>
      </c>
      <c r="W23" s="40" t="str">
        <f t="shared" si="0"/>
        <v/>
      </c>
    </row>
    <row r="24" spans="1:23" ht="15.75" customHeight="1">
      <c r="A24" s="235" t="s">
        <v>13</v>
      </c>
      <c r="B24" s="253">
        <v>1</v>
      </c>
      <c r="C24" s="267" t="s">
        <v>8</v>
      </c>
      <c r="D24" s="254" t="s">
        <v>5</v>
      </c>
      <c r="E24" s="143">
        <v>9.49</v>
      </c>
      <c r="F24" s="133">
        <v>0</v>
      </c>
      <c r="G24" s="140">
        <v>46123</v>
      </c>
      <c r="H24" s="143">
        <v>10.49</v>
      </c>
      <c r="I24" s="139">
        <f>G24</f>
        <v>46123</v>
      </c>
      <c r="J24" s="140">
        <v>100324</v>
      </c>
      <c r="K24" s="121" t="s">
        <v>5</v>
      </c>
      <c r="L24" s="218" t="s">
        <v>5</v>
      </c>
      <c r="M24" s="142" t="s">
        <v>5</v>
      </c>
      <c r="N24" s="121" t="s">
        <v>5</v>
      </c>
      <c r="O24" s="218" t="s">
        <v>5</v>
      </c>
      <c r="P24" s="142" t="s">
        <v>5</v>
      </c>
      <c r="Q24" s="121" t="s">
        <v>5</v>
      </c>
      <c r="R24" s="218" t="s">
        <v>5</v>
      </c>
      <c r="S24" s="142" t="s">
        <v>5</v>
      </c>
      <c r="T24" s="189">
        <f>((E24/100)*G24)+(H24/100)*(J24-I24)</f>
        <v>10062.757600000001</v>
      </c>
      <c r="U24" s="241" t="s">
        <v>6</v>
      </c>
      <c r="V24" s="237">
        <v>100</v>
      </c>
      <c r="W24" s="40" t="str">
        <f t="shared" si="0"/>
        <v>A</v>
      </c>
    </row>
    <row r="25" spans="1:23" ht="15.75" customHeight="1">
      <c r="A25" s="235" t="s">
        <v>14</v>
      </c>
      <c r="B25" s="253">
        <v>1</v>
      </c>
      <c r="C25" s="267" t="s">
        <v>7</v>
      </c>
      <c r="D25" s="257" t="s">
        <v>5</v>
      </c>
      <c r="E25" s="143">
        <f>(0.08796+0.05+0.005)*100</f>
        <v>14.296000000000001</v>
      </c>
      <c r="F25" s="133">
        <v>0</v>
      </c>
      <c r="G25" s="140">
        <f>7440000/12</f>
        <v>620000</v>
      </c>
      <c r="H25" s="143">
        <f>(0.05+0.005)*100</f>
        <v>5.5</v>
      </c>
      <c r="I25" s="139">
        <f>G25</f>
        <v>620000</v>
      </c>
      <c r="J25" s="140">
        <f>14520000/12</f>
        <v>1210000</v>
      </c>
      <c r="K25" s="143">
        <f>0.005*100</f>
        <v>0.5</v>
      </c>
      <c r="L25" s="139">
        <f>J25</f>
        <v>1210000</v>
      </c>
      <c r="M25" s="180" t="s">
        <v>5</v>
      </c>
      <c r="N25" s="121" t="s">
        <v>5</v>
      </c>
      <c r="O25" s="218" t="s">
        <v>5</v>
      </c>
      <c r="P25" s="142" t="s">
        <v>5</v>
      </c>
      <c r="Q25" s="121" t="s">
        <v>5</v>
      </c>
      <c r="R25" s="218" t="s">
        <v>5</v>
      </c>
      <c r="S25" s="142" t="s">
        <v>5</v>
      </c>
      <c r="T25" s="189" t="s">
        <v>5</v>
      </c>
      <c r="U25" s="62" t="s">
        <v>6</v>
      </c>
      <c r="V25" s="236">
        <v>100</v>
      </c>
      <c r="W25" s="40" t="str">
        <f t="shared" si="0"/>
        <v>A</v>
      </c>
    </row>
    <row r="26" spans="1:23" ht="15.75" customHeight="1">
      <c r="A26" s="235" t="s">
        <v>15</v>
      </c>
      <c r="B26" s="253">
        <v>1</v>
      </c>
      <c r="C26" s="266" t="s">
        <v>7</v>
      </c>
      <c r="D26" s="254" t="s">
        <v>5</v>
      </c>
      <c r="E26" s="143">
        <f>(0.045*100)+H26</f>
        <v>8.3837930000000007</v>
      </c>
      <c r="F26" s="133">
        <v>0</v>
      </c>
      <c r="G26" s="140">
        <f>(2273400/0.045)/12</f>
        <v>4210000</v>
      </c>
      <c r="H26" s="143">
        <f>(0.03233793*100)+K26</f>
        <v>3.8837929999999998</v>
      </c>
      <c r="I26" s="133">
        <f>G26</f>
        <v>4210000</v>
      </c>
      <c r="J26" s="140">
        <f>(30307103.3/0.03233793)/12</f>
        <v>78099987.898627609</v>
      </c>
      <c r="K26" s="208">
        <f>0.0065*100</f>
        <v>0.65</v>
      </c>
      <c r="L26" s="133">
        <f>J26</f>
        <v>78099987.898627609</v>
      </c>
      <c r="M26" s="142" t="s">
        <v>5</v>
      </c>
      <c r="N26" s="121" t="s">
        <v>5</v>
      </c>
      <c r="O26" s="218" t="s">
        <v>5</v>
      </c>
      <c r="P26" s="142" t="s">
        <v>5</v>
      </c>
      <c r="Q26" s="121" t="s">
        <v>5</v>
      </c>
      <c r="R26" s="218" t="s">
        <v>5</v>
      </c>
      <c r="S26" s="142" t="s">
        <v>5</v>
      </c>
      <c r="T26" s="188" t="s">
        <v>5</v>
      </c>
      <c r="U26" s="62" t="s">
        <v>6</v>
      </c>
      <c r="V26" s="236">
        <v>100</v>
      </c>
      <c r="W26" s="40" t="str">
        <f t="shared" si="0"/>
        <v>A</v>
      </c>
    </row>
    <row r="27" spans="1:23">
      <c r="A27" s="513" t="s">
        <v>282</v>
      </c>
      <c r="B27" s="500">
        <v>1</v>
      </c>
      <c r="C27" s="30" t="s">
        <v>8</v>
      </c>
      <c r="D27" s="502" t="s">
        <v>5</v>
      </c>
      <c r="E27" s="503">
        <v>10.5</v>
      </c>
      <c r="F27" s="400">
        <v>0</v>
      </c>
      <c r="G27" s="396">
        <v>48600</v>
      </c>
      <c r="H27" s="501"/>
      <c r="I27" s="504"/>
      <c r="J27" s="505"/>
      <c r="K27" s="501"/>
      <c r="L27" s="504"/>
      <c r="M27" s="505"/>
      <c r="N27" s="506"/>
      <c r="O27" s="504"/>
      <c r="P27" s="505"/>
      <c r="Q27" s="506"/>
      <c r="R27" s="504"/>
      <c r="S27" s="505"/>
      <c r="T27" s="507">
        <f>(E27/100)*G27</f>
        <v>5103</v>
      </c>
      <c r="U27" s="62" t="s">
        <v>6</v>
      </c>
      <c r="V27" s="375">
        <v>100</v>
      </c>
      <c r="W27" s="30" t="str">
        <f t="shared" si="0"/>
        <v>A</v>
      </c>
    </row>
    <row r="28" spans="1:23" ht="15.75" customHeight="1">
      <c r="A28" s="322" t="s">
        <v>273</v>
      </c>
      <c r="B28" s="253">
        <v>1</v>
      </c>
      <c r="C28" s="267" t="s">
        <v>8</v>
      </c>
      <c r="D28" s="254" t="s">
        <v>5</v>
      </c>
      <c r="E28" s="143">
        <f>0.1105*100</f>
        <v>11.05</v>
      </c>
      <c r="F28" s="133">
        <v>0</v>
      </c>
      <c r="G28" s="134">
        <v>115377.84</v>
      </c>
      <c r="H28" s="120" t="s">
        <v>5</v>
      </c>
      <c r="I28" s="219" t="s">
        <v>5</v>
      </c>
      <c r="J28" s="180" t="s">
        <v>5</v>
      </c>
      <c r="K28" s="120" t="s">
        <v>5</v>
      </c>
      <c r="L28" s="219" t="s">
        <v>5</v>
      </c>
      <c r="M28" s="180" t="s">
        <v>5</v>
      </c>
      <c r="N28" s="120" t="s">
        <v>5</v>
      </c>
      <c r="O28" s="219" t="s">
        <v>5</v>
      </c>
      <c r="P28" s="180" t="s">
        <v>5</v>
      </c>
      <c r="Q28" s="120" t="s">
        <v>5</v>
      </c>
      <c r="R28" s="219" t="s">
        <v>5</v>
      </c>
      <c r="S28" s="180" t="s">
        <v>5</v>
      </c>
      <c r="T28" s="189">
        <f>+G28*E28/100</f>
        <v>12749.251319999999</v>
      </c>
      <c r="U28" s="61" t="s">
        <v>6</v>
      </c>
      <c r="V28" s="238">
        <v>100</v>
      </c>
      <c r="W28" s="40" t="str">
        <f t="shared" si="0"/>
        <v>A</v>
      </c>
    </row>
    <row r="29" spans="1:23" ht="15.75" customHeight="1">
      <c r="A29" s="322" t="s">
        <v>273</v>
      </c>
      <c r="B29" s="253">
        <v>2</v>
      </c>
      <c r="C29" s="267" t="s">
        <v>8</v>
      </c>
      <c r="D29" s="255" t="s">
        <v>5</v>
      </c>
      <c r="E29" s="143">
        <f>0.014*100</f>
        <v>1.4000000000000001</v>
      </c>
      <c r="F29" s="133">
        <f>0.25*23075.52</f>
        <v>5768.88</v>
      </c>
      <c r="G29" s="134" t="s">
        <v>29</v>
      </c>
      <c r="H29" s="120" t="s">
        <v>5</v>
      </c>
      <c r="I29" s="219" t="s">
        <v>5</v>
      </c>
      <c r="J29" s="180" t="s">
        <v>5</v>
      </c>
      <c r="K29" s="120" t="s">
        <v>5</v>
      </c>
      <c r="L29" s="219" t="s">
        <v>5</v>
      </c>
      <c r="M29" s="180" t="s">
        <v>5</v>
      </c>
      <c r="N29" s="120" t="s">
        <v>5</v>
      </c>
      <c r="O29" s="219" t="s">
        <v>5</v>
      </c>
      <c r="P29" s="180" t="s">
        <v>5</v>
      </c>
      <c r="Q29" s="120" t="s">
        <v>5</v>
      </c>
      <c r="R29" s="219" t="s">
        <v>5</v>
      </c>
      <c r="S29" s="180" t="s">
        <v>5</v>
      </c>
      <c r="T29" s="189" t="s">
        <v>5</v>
      </c>
      <c r="U29" s="66" t="s">
        <v>5</v>
      </c>
      <c r="V29" s="242" t="s">
        <v>5</v>
      </c>
      <c r="W29" s="40" t="str">
        <f t="shared" si="0"/>
        <v/>
      </c>
    </row>
    <row r="30" spans="1:23" ht="15.75" customHeight="1">
      <c r="A30" s="235" t="s">
        <v>71</v>
      </c>
      <c r="B30" s="253">
        <v>1</v>
      </c>
      <c r="C30" s="267" t="s">
        <v>7</v>
      </c>
      <c r="D30" s="257" t="s">
        <v>5</v>
      </c>
      <c r="E30" s="143">
        <f>0.0125*100</f>
        <v>1.25</v>
      </c>
      <c r="F30" s="133">
        <v>0</v>
      </c>
      <c r="G30" s="221">
        <f>3*70.1*(365/12)</f>
        <v>6396.625</v>
      </c>
      <c r="H30" s="143">
        <f>E30+(0.004*100)</f>
        <v>1.65</v>
      </c>
      <c r="I30" s="220">
        <f>G30</f>
        <v>6396.625</v>
      </c>
      <c r="J30" s="221">
        <f>25*70.1*(365/12)</f>
        <v>53305.208333333328</v>
      </c>
      <c r="K30" s="174" t="s">
        <v>5</v>
      </c>
      <c r="L30" s="475" t="s">
        <v>5</v>
      </c>
      <c r="M30" s="226" t="s">
        <v>5</v>
      </c>
      <c r="N30" s="174" t="s">
        <v>5</v>
      </c>
      <c r="O30" s="475" t="s">
        <v>5</v>
      </c>
      <c r="P30" s="226" t="s">
        <v>5</v>
      </c>
      <c r="Q30" s="174" t="s">
        <v>5</v>
      </c>
      <c r="R30" s="475" t="s">
        <v>5</v>
      </c>
      <c r="S30" s="226" t="s">
        <v>5</v>
      </c>
      <c r="T30" s="189">
        <f>((E30/100)*G30)+(H30/100)*(J30-I30)</f>
        <v>853.94943750000004</v>
      </c>
      <c r="U30" s="243" t="s">
        <v>5</v>
      </c>
      <c r="V30" s="237" t="s">
        <v>5</v>
      </c>
      <c r="W30" s="40" t="str">
        <f t="shared" si="0"/>
        <v/>
      </c>
    </row>
    <row r="31" spans="1:23" ht="15.75" customHeight="1">
      <c r="A31" s="235" t="s">
        <v>60</v>
      </c>
      <c r="B31" s="253">
        <v>1</v>
      </c>
      <c r="C31" s="266" t="s">
        <v>6</v>
      </c>
      <c r="D31" s="259" t="s">
        <v>5</v>
      </c>
      <c r="E31" s="135">
        <f>(0.179+0.006+0.0965)*100</f>
        <v>28.15</v>
      </c>
      <c r="F31" s="133">
        <v>0</v>
      </c>
      <c r="G31" s="134">
        <v>33589</v>
      </c>
      <c r="H31" s="120" t="s">
        <v>5</v>
      </c>
      <c r="I31" s="219" t="s">
        <v>5</v>
      </c>
      <c r="J31" s="180" t="s">
        <v>5</v>
      </c>
      <c r="K31" s="120" t="s">
        <v>5</v>
      </c>
      <c r="L31" s="219" t="s">
        <v>5</v>
      </c>
      <c r="M31" s="180" t="s">
        <v>5</v>
      </c>
      <c r="N31" s="120" t="s">
        <v>5</v>
      </c>
      <c r="O31" s="219" t="s">
        <v>5</v>
      </c>
      <c r="P31" s="180" t="s">
        <v>5</v>
      </c>
      <c r="Q31" s="120" t="s">
        <v>5</v>
      </c>
      <c r="R31" s="219" t="s">
        <v>5</v>
      </c>
      <c r="S31" s="180" t="s">
        <v>5</v>
      </c>
      <c r="T31" s="189">
        <f>(G31-F31)*E31/100</f>
        <v>9455.3035</v>
      </c>
      <c r="U31" s="61" t="s">
        <v>6</v>
      </c>
      <c r="V31" s="238">
        <v>100</v>
      </c>
      <c r="W31" s="40" t="str">
        <f t="shared" si="0"/>
        <v>A</v>
      </c>
    </row>
    <row r="32" spans="1:23" ht="15.75" customHeight="1">
      <c r="A32" s="235" t="s">
        <v>42</v>
      </c>
      <c r="B32" s="529">
        <v>0</v>
      </c>
      <c r="C32" s="268" t="s">
        <v>250</v>
      </c>
      <c r="D32" s="261" t="s">
        <v>5</v>
      </c>
      <c r="E32" s="141" t="s">
        <v>5</v>
      </c>
      <c r="F32" s="222" t="s">
        <v>5</v>
      </c>
      <c r="G32" s="223" t="s">
        <v>5</v>
      </c>
      <c r="H32" s="120" t="s">
        <v>5</v>
      </c>
      <c r="I32" s="219" t="s">
        <v>5</v>
      </c>
      <c r="J32" s="180" t="s">
        <v>5</v>
      </c>
      <c r="K32" s="120" t="s">
        <v>5</v>
      </c>
      <c r="L32" s="219" t="s">
        <v>5</v>
      </c>
      <c r="M32" s="180" t="s">
        <v>5</v>
      </c>
      <c r="N32" s="120" t="s">
        <v>5</v>
      </c>
      <c r="O32" s="219" t="s">
        <v>5</v>
      </c>
      <c r="P32" s="180" t="s">
        <v>5</v>
      </c>
      <c r="Q32" s="120" t="s">
        <v>5</v>
      </c>
      <c r="R32" s="219" t="s">
        <v>5</v>
      </c>
      <c r="S32" s="180" t="s">
        <v>5</v>
      </c>
      <c r="T32" s="190" t="s">
        <v>5</v>
      </c>
      <c r="U32" s="111" t="s">
        <v>5</v>
      </c>
      <c r="V32" s="245" t="s">
        <v>5</v>
      </c>
      <c r="W32" s="40" t="str">
        <f t="shared" si="0"/>
        <v/>
      </c>
    </row>
    <row r="33" spans="1:23" ht="15.75" customHeight="1">
      <c r="A33" s="235" t="s">
        <v>64</v>
      </c>
      <c r="B33" s="253">
        <v>1</v>
      </c>
      <c r="C33" s="267" t="s">
        <v>8</v>
      </c>
      <c r="D33" s="254" t="s">
        <v>5</v>
      </c>
      <c r="E33" s="143">
        <f>0.082*100</f>
        <v>8.2000000000000011</v>
      </c>
      <c r="F33" s="133" t="s">
        <v>275</v>
      </c>
      <c r="G33" s="134" t="s">
        <v>5</v>
      </c>
      <c r="H33" s="120" t="s">
        <v>5</v>
      </c>
      <c r="I33" s="219" t="s">
        <v>5</v>
      </c>
      <c r="J33" s="180" t="s">
        <v>5</v>
      </c>
      <c r="K33" s="120" t="s">
        <v>5</v>
      </c>
      <c r="L33" s="219" t="s">
        <v>5</v>
      </c>
      <c r="M33" s="180" t="s">
        <v>5</v>
      </c>
      <c r="N33" s="120" t="s">
        <v>5</v>
      </c>
      <c r="O33" s="219" t="s">
        <v>5</v>
      </c>
      <c r="P33" s="180" t="s">
        <v>5</v>
      </c>
      <c r="Q33" s="120" t="s">
        <v>5</v>
      </c>
      <c r="R33" s="219" t="s">
        <v>5</v>
      </c>
      <c r="S33" s="180" t="s">
        <v>5</v>
      </c>
      <c r="T33" s="188" t="s">
        <v>5</v>
      </c>
      <c r="U33" s="67" t="s">
        <v>5</v>
      </c>
      <c r="V33" s="237" t="s">
        <v>5</v>
      </c>
      <c r="W33" s="40" t="str">
        <f t="shared" si="0"/>
        <v/>
      </c>
    </row>
    <row r="34" spans="1:23" ht="15.75" customHeight="1">
      <c r="A34" s="235" t="s">
        <v>72</v>
      </c>
      <c r="B34" s="253">
        <v>1</v>
      </c>
      <c r="C34" s="267" t="s">
        <v>8</v>
      </c>
      <c r="D34" s="254" t="s">
        <v>5</v>
      </c>
      <c r="E34" s="143">
        <f>(0.0611+0.015)*100</f>
        <v>7.61</v>
      </c>
      <c r="F34" s="133">
        <v>0</v>
      </c>
      <c r="G34" s="221">
        <v>118770</v>
      </c>
      <c r="H34" s="143">
        <f>0.0245*100</f>
        <v>2.4500000000000002</v>
      </c>
      <c r="I34" s="220">
        <f>G34</f>
        <v>118770</v>
      </c>
      <c r="J34" s="226" t="s">
        <v>5</v>
      </c>
      <c r="K34" s="174" t="s">
        <v>5</v>
      </c>
      <c r="L34" s="475" t="s">
        <v>5</v>
      </c>
      <c r="M34" s="226" t="s">
        <v>5</v>
      </c>
      <c r="N34" s="174" t="s">
        <v>5</v>
      </c>
      <c r="O34" s="475" t="s">
        <v>5</v>
      </c>
      <c r="P34" s="226" t="s">
        <v>5</v>
      </c>
      <c r="Q34" s="174" t="s">
        <v>5</v>
      </c>
      <c r="R34" s="475" t="s">
        <v>5</v>
      </c>
      <c r="S34" s="226" t="s">
        <v>5</v>
      </c>
      <c r="T34" s="188" t="s">
        <v>5</v>
      </c>
      <c r="U34" s="62" t="s">
        <v>6</v>
      </c>
      <c r="V34" s="236">
        <v>100</v>
      </c>
      <c r="W34" s="40" t="str">
        <f t="shared" si="0"/>
        <v>A</v>
      </c>
    </row>
    <row r="35" spans="1:23" ht="15.75" customHeight="1">
      <c r="A35" s="235" t="s">
        <v>72</v>
      </c>
      <c r="B35" s="253">
        <v>2</v>
      </c>
      <c r="C35" s="267" t="s">
        <v>8</v>
      </c>
      <c r="D35" s="254" t="s">
        <v>5</v>
      </c>
      <c r="E35" s="143">
        <f>0.09*100</f>
        <v>9</v>
      </c>
      <c r="F35" s="224" t="s">
        <v>5</v>
      </c>
      <c r="G35" s="225" t="s">
        <v>5</v>
      </c>
      <c r="H35" s="163" t="s">
        <v>5</v>
      </c>
      <c r="I35" s="395" t="s">
        <v>5</v>
      </c>
      <c r="J35" s="472" t="s">
        <v>5</v>
      </c>
      <c r="K35" s="163" t="s">
        <v>5</v>
      </c>
      <c r="L35" s="395" t="s">
        <v>5</v>
      </c>
      <c r="M35" s="472" t="s">
        <v>5</v>
      </c>
      <c r="N35" s="163" t="s">
        <v>5</v>
      </c>
      <c r="O35" s="395" t="s">
        <v>5</v>
      </c>
      <c r="P35" s="472" t="s">
        <v>5</v>
      </c>
      <c r="Q35" s="163" t="s">
        <v>5</v>
      </c>
      <c r="R35" s="395" t="s">
        <v>5</v>
      </c>
      <c r="S35" s="472" t="s">
        <v>5</v>
      </c>
      <c r="T35" s="188" t="s">
        <v>5</v>
      </c>
      <c r="U35" s="62" t="s">
        <v>6</v>
      </c>
      <c r="V35" s="236">
        <v>100</v>
      </c>
      <c r="W35" s="40" t="str">
        <f t="shared" si="0"/>
        <v>A</v>
      </c>
    </row>
    <row r="36" spans="1:23" ht="15.75" customHeight="1">
      <c r="A36" s="235" t="s">
        <v>17</v>
      </c>
      <c r="B36" s="253">
        <v>1</v>
      </c>
      <c r="C36" s="267" t="s">
        <v>7</v>
      </c>
      <c r="D36" s="254" t="s">
        <v>5</v>
      </c>
      <c r="E36" s="143">
        <f>0.11*100</f>
        <v>11</v>
      </c>
      <c r="F36" s="224" t="s">
        <v>5</v>
      </c>
      <c r="G36" s="225" t="s">
        <v>5</v>
      </c>
      <c r="H36" s="163" t="s">
        <v>5</v>
      </c>
      <c r="I36" s="395" t="s">
        <v>5</v>
      </c>
      <c r="J36" s="472" t="s">
        <v>5</v>
      </c>
      <c r="K36" s="163" t="s">
        <v>5</v>
      </c>
      <c r="L36" s="395" t="s">
        <v>5</v>
      </c>
      <c r="M36" s="472" t="s">
        <v>5</v>
      </c>
      <c r="N36" s="163" t="s">
        <v>5</v>
      </c>
      <c r="O36" s="395" t="s">
        <v>5</v>
      </c>
      <c r="P36" s="472" t="s">
        <v>5</v>
      </c>
      <c r="Q36" s="163" t="s">
        <v>5</v>
      </c>
      <c r="R36" s="395" t="s">
        <v>5</v>
      </c>
      <c r="S36" s="472" t="s">
        <v>5</v>
      </c>
      <c r="T36" s="188" t="s">
        <v>5</v>
      </c>
      <c r="U36" s="62" t="s">
        <v>6</v>
      </c>
      <c r="V36" s="236">
        <v>100</v>
      </c>
      <c r="W36" s="40" t="str">
        <f t="shared" si="0"/>
        <v>A</v>
      </c>
    </row>
    <row r="37" spans="1:23" ht="15.75" customHeight="1">
      <c r="A37" s="235" t="s">
        <v>51</v>
      </c>
      <c r="B37" s="253">
        <v>1</v>
      </c>
      <c r="C37" s="267" t="s">
        <v>7</v>
      </c>
      <c r="D37" s="255" t="s">
        <v>5</v>
      </c>
      <c r="E37" s="143">
        <f>0.094*100</f>
        <v>9.4</v>
      </c>
      <c r="F37" s="133" t="s">
        <v>280</v>
      </c>
      <c r="G37" s="134">
        <f>49440/12</f>
        <v>4120</v>
      </c>
      <c r="H37" s="120" t="s">
        <v>5</v>
      </c>
      <c r="I37" s="219" t="s">
        <v>5</v>
      </c>
      <c r="J37" s="180" t="s">
        <v>5</v>
      </c>
      <c r="K37" s="120" t="s">
        <v>5</v>
      </c>
      <c r="L37" s="219" t="s">
        <v>5</v>
      </c>
      <c r="M37" s="180" t="s">
        <v>5</v>
      </c>
      <c r="N37" s="120" t="s">
        <v>5</v>
      </c>
      <c r="O37" s="219" t="s">
        <v>5</v>
      </c>
      <c r="P37" s="180" t="s">
        <v>5</v>
      </c>
      <c r="Q37" s="120" t="s">
        <v>5</v>
      </c>
      <c r="R37" s="219" t="s">
        <v>5</v>
      </c>
      <c r="S37" s="180" t="s">
        <v>5</v>
      </c>
      <c r="T37" s="188">
        <f>+G37*E37/100</f>
        <v>387.28</v>
      </c>
      <c r="U37" s="61" t="s">
        <v>6</v>
      </c>
      <c r="V37" s="238">
        <v>100</v>
      </c>
      <c r="W37" s="40" t="str">
        <f t="shared" si="0"/>
        <v>A</v>
      </c>
    </row>
    <row r="38" spans="1:23" ht="15.75" customHeight="1">
      <c r="A38" s="235" t="s">
        <v>59</v>
      </c>
      <c r="B38" s="253">
        <v>1</v>
      </c>
      <c r="C38" s="267" t="s">
        <v>7</v>
      </c>
      <c r="D38" s="254" t="s">
        <v>5</v>
      </c>
      <c r="E38" s="143">
        <f>0.221*100</f>
        <v>22.1</v>
      </c>
      <c r="F38" s="224" t="s">
        <v>5</v>
      </c>
      <c r="G38" s="225" t="s">
        <v>5</v>
      </c>
      <c r="H38" s="163" t="s">
        <v>5</v>
      </c>
      <c r="I38" s="395" t="s">
        <v>5</v>
      </c>
      <c r="J38" s="472" t="s">
        <v>5</v>
      </c>
      <c r="K38" s="163" t="s">
        <v>5</v>
      </c>
      <c r="L38" s="395" t="s">
        <v>5</v>
      </c>
      <c r="M38" s="472" t="s">
        <v>5</v>
      </c>
      <c r="N38" s="163" t="s">
        <v>5</v>
      </c>
      <c r="O38" s="395" t="s">
        <v>5</v>
      </c>
      <c r="P38" s="472" t="s">
        <v>5</v>
      </c>
      <c r="Q38" s="163" t="s">
        <v>5</v>
      </c>
      <c r="R38" s="395" t="s">
        <v>5</v>
      </c>
      <c r="S38" s="472" t="s">
        <v>5</v>
      </c>
      <c r="T38" s="188" t="s">
        <v>5</v>
      </c>
      <c r="U38" s="62" t="s">
        <v>6</v>
      </c>
      <c r="V38" s="236">
        <v>100</v>
      </c>
      <c r="W38" s="40" t="str">
        <f t="shared" si="0"/>
        <v>A</v>
      </c>
    </row>
    <row r="39" spans="1:23" ht="15.75" customHeight="1">
      <c r="A39" s="235" t="s">
        <v>213</v>
      </c>
      <c r="B39" s="253">
        <v>1</v>
      </c>
      <c r="C39" s="267" t="s">
        <v>8</v>
      </c>
      <c r="D39" s="254" t="s">
        <v>5</v>
      </c>
      <c r="E39" s="143">
        <f>(0.047+0.0155+0.001)*100</f>
        <v>6.35</v>
      </c>
      <c r="F39" s="133" t="s">
        <v>277</v>
      </c>
      <c r="G39" s="134">
        <v>43272</v>
      </c>
      <c r="H39" s="120" t="s">
        <v>5</v>
      </c>
      <c r="I39" s="219" t="s">
        <v>5</v>
      </c>
      <c r="J39" s="180" t="s">
        <v>5</v>
      </c>
      <c r="K39" s="120" t="s">
        <v>5</v>
      </c>
      <c r="L39" s="219" t="s">
        <v>5</v>
      </c>
      <c r="M39" s="180" t="s">
        <v>5</v>
      </c>
      <c r="N39" s="120" t="s">
        <v>5</v>
      </c>
      <c r="O39" s="219" t="s">
        <v>5</v>
      </c>
      <c r="P39" s="180" t="s">
        <v>5</v>
      </c>
      <c r="Q39" s="120" t="s">
        <v>5</v>
      </c>
      <c r="R39" s="219" t="s">
        <v>5</v>
      </c>
      <c r="S39" s="180" t="s">
        <v>5</v>
      </c>
      <c r="T39" s="189">
        <f>G39*(E39/100)</f>
        <v>2747.7719999999999</v>
      </c>
      <c r="U39" s="62" t="s">
        <v>6</v>
      </c>
      <c r="V39" s="236">
        <v>100</v>
      </c>
      <c r="W39" s="40" t="str">
        <f t="shared" si="0"/>
        <v>A</v>
      </c>
    </row>
    <row r="40" spans="1:23" ht="15.75" customHeight="1">
      <c r="A40" s="235" t="s">
        <v>73</v>
      </c>
      <c r="B40" s="253">
        <v>1</v>
      </c>
      <c r="C40" s="267" t="s">
        <v>8</v>
      </c>
      <c r="D40" s="254" t="s">
        <v>5</v>
      </c>
      <c r="E40" s="143">
        <f>0.07*100</f>
        <v>7.0000000000000009</v>
      </c>
      <c r="F40" s="133" t="str">
        <f>"["&amp;0.423*44500&amp;"]"</f>
        <v>[18823.5]</v>
      </c>
      <c r="G40" s="134">
        <f>8.07*58100</f>
        <v>468867</v>
      </c>
      <c r="H40" s="120" t="s">
        <v>5</v>
      </c>
      <c r="I40" s="219" t="s">
        <v>5</v>
      </c>
      <c r="J40" s="180" t="s">
        <v>5</v>
      </c>
      <c r="K40" s="120" t="s">
        <v>5</v>
      </c>
      <c r="L40" s="219" t="s">
        <v>5</v>
      </c>
      <c r="M40" s="180" t="s">
        <v>5</v>
      </c>
      <c r="N40" s="120" t="s">
        <v>5</v>
      </c>
      <c r="O40" s="219" t="s">
        <v>5</v>
      </c>
      <c r="P40" s="180" t="s">
        <v>5</v>
      </c>
      <c r="Q40" s="120" t="s">
        <v>5</v>
      </c>
      <c r="R40" s="219" t="s">
        <v>5</v>
      </c>
      <c r="S40" s="180" t="s">
        <v>5</v>
      </c>
      <c r="T40" s="189">
        <f>ROUND(E40*G40/100,-2)</f>
        <v>32800</v>
      </c>
      <c r="U40" s="62" t="s">
        <v>28</v>
      </c>
      <c r="V40" s="236">
        <v>100</v>
      </c>
      <c r="W40" s="40" t="str">
        <f t="shared" si="0"/>
        <v>C</v>
      </c>
    </row>
    <row r="41" spans="1:23" ht="15.75" customHeight="1">
      <c r="A41" s="235" t="s">
        <v>74</v>
      </c>
      <c r="B41" s="253">
        <v>1</v>
      </c>
      <c r="C41" s="267" t="s">
        <v>8</v>
      </c>
      <c r="D41" s="254" t="s">
        <v>5</v>
      </c>
      <c r="E41" s="143">
        <f>(0.011+0.0515)*100</f>
        <v>6.25</v>
      </c>
      <c r="F41" s="224">
        <v>0</v>
      </c>
      <c r="G41" s="140">
        <v>126000</v>
      </c>
      <c r="H41" s="143">
        <f>(0.005+0.0515)*100</f>
        <v>5.6499999999999995</v>
      </c>
      <c r="I41" s="219" t="s">
        <v>5</v>
      </c>
      <c r="J41" s="180" t="s">
        <v>5</v>
      </c>
      <c r="K41" s="120" t="s">
        <v>5</v>
      </c>
      <c r="L41" s="139" t="str">
        <f>J41</f>
        <v>-</v>
      </c>
      <c r="M41" s="142" t="s">
        <v>5</v>
      </c>
      <c r="N41" s="121" t="s">
        <v>5</v>
      </c>
      <c r="O41" s="218" t="s">
        <v>5</v>
      </c>
      <c r="P41" s="142" t="s">
        <v>5</v>
      </c>
      <c r="Q41" s="121" t="s">
        <v>5</v>
      </c>
      <c r="R41" s="218" t="s">
        <v>5</v>
      </c>
      <c r="S41" s="142" t="s">
        <v>5</v>
      </c>
      <c r="T41" s="188" t="s">
        <v>5</v>
      </c>
      <c r="U41" s="62" t="s">
        <v>6</v>
      </c>
      <c r="V41" s="236">
        <v>100</v>
      </c>
      <c r="W41" s="40" t="str">
        <f t="shared" si="0"/>
        <v>A</v>
      </c>
    </row>
    <row r="42" spans="1:23" ht="15.75" customHeight="1">
      <c r="A42" s="235" t="s">
        <v>43</v>
      </c>
      <c r="B42" s="253">
        <v>1</v>
      </c>
      <c r="C42" s="267" t="s">
        <v>8</v>
      </c>
      <c r="D42" s="254" t="s">
        <v>5</v>
      </c>
      <c r="E42" s="143">
        <f>0.15*100</f>
        <v>15</v>
      </c>
      <c r="F42" s="224" t="s">
        <v>279</v>
      </c>
      <c r="G42" s="225">
        <v>96525</v>
      </c>
      <c r="H42" s="163" t="s">
        <v>5</v>
      </c>
      <c r="I42" s="395" t="s">
        <v>5</v>
      </c>
      <c r="J42" s="472" t="s">
        <v>5</v>
      </c>
      <c r="K42" s="163" t="s">
        <v>5</v>
      </c>
      <c r="L42" s="395" t="s">
        <v>5</v>
      </c>
      <c r="M42" s="472" t="s">
        <v>5</v>
      </c>
      <c r="N42" s="163" t="s">
        <v>5</v>
      </c>
      <c r="O42" s="395" t="s">
        <v>5</v>
      </c>
      <c r="P42" s="472" t="s">
        <v>5</v>
      </c>
      <c r="Q42" s="163" t="s">
        <v>5</v>
      </c>
      <c r="R42" s="395" t="s">
        <v>5</v>
      </c>
      <c r="S42" s="472" t="s">
        <v>5</v>
      </c>
      <c r="T42" s="189">
        <f>G42*E42/100</f>
        <v>14478.75</v>
      </c>
      <c r="U42" s="62" t="s">
        <v>6</v>
      </c>
      <c r="V42" s="236">
        <v>100</v>
      </c>
      <c r="W42" s="40" t="str">
        <f t="shared" si="0"/>
        <v>A</v>
      </c>
    </row>
    <row r="43" spans="1:23" ht="15.75" customHeight="1">
      <c r="A43" s="235" t="s">
        <v>47</v>
      </c>
      <c r="B43" s="253">
        <v>1</v>
      </c>
      <c r="C43" s="267" t="s">
        <v>19</v>
      </c>
      <c r="D43" s="254" t="s">
        <v>5</v>
      </c>
      <c r="E43" s="143">
        <f>0.12*100</f>
        <v>12</v>
      </c>
      <c r="F43" s="224">
        <f>8060/52</f>
        <v>155</v>
      </c>
      <c r="G43" s="225">
        <f>42385/52</f>
        <v>815.09615384615381</v>
      </c>
      <c r="H43" s="143">
        <f>0.02*100</f>
        <v>2</v>
      </c>
      <c r="I43" s="224">
        <f>G43</f>
        <v>815.09615384615381</v>
      </c>
      <c r="J43" s="472" t="s">
        <v>5</v>
      </c>
      <c r="K43" s="163" t="s">
        <v>5</v>
      </c>
      <c r="L43" s="395" t="s">
        <v>5</v>
      </c>
      <c r="M43" s="472" t="s">
        <v>5</v>
      </c>
      <c r="N43" s="163" t="s">
        <v>5</v>
      </c>
      <c r="O43" s="395" t="s">
        <v>5</v>
      </c>
      <c r="P43" s="472" t="s">
        <v>5</v>
      </c>
      <c r="Q43" s="163" t="s">
        <v>5</v>
      </c>
      <c r="R43" s="395" t="s">
        <v>5</v>
      </c>
      <c r="S43" s="472" t="s">
        <v>5</v>
      </c>
      <c r="T43" s="188" t="s">
        <v>5</v>
      </c>
      <c r="U43" s="67" t="s">
        <v>5</v>
      </c>
      <c r="V43" s="237" t="s">
        <v>5</v>
      </c>
      <c r="W43" s="40" t="str">
        <f t="shared" si="0"/>
        <v/>
      </c>
    </row>
    <row r="44" spans="1:23" ht="15.75" customHeight="1">
      <c r="A44" s="246" t="s">
        <v>20</v>
      </c>
      <c r="B44" s="262">
        <v>1</v>
      </c>
      <c r="C44" s="269" t="s">
        <v>8</v>
      </c>
      <c r="D44" s="263" t="s">
        <v>5</v>
      </c>
      <c r="E44" s="247">
        <f>(0.062*100)+H44</f>
        <v>7.65</v>
      </c>
      <c r="F44" s="149">
        <v>0</v>
      </c>
      <c r="G44" s="138">
        <v>118500</v>
      </c>
      <c r="H44" s="247">
        <f>0.0145*100</f>
        <v>1.4500000000000002</v>
      </c>
      <c r="I44" s="137">
        <f>G44</f>
        <v>118500</v>
      </c>
      <c r="J44" s="125" t="s">
        <v>5</v>
      </c>
      <c r="K44" s="476" t="s">
        <v>5</v>
      </c>
      <c r="L44" s="477" t="s">
        <v>5</v>
      </c>
      <c r="M44" s="125" t="s">
        <v>5</v>
      </c>
      <c r="N44" s="476" t="s">
        <v>5</v>
      </c>
      <c r="O44" s="477" t="s">
        <v>5</v>
      </c>
      <c r="P44" s="125" t="s">
        <v>5</v>
      </c>
      <c r="Q44" s="476" t="s">
        <v>5</v>
      </c>
      <c r="R44" s="477" t="s">
        <v>5</v>
      </c>
      <c r="S44" s="125" t="s">
        <v>5</v>
      </c>
      <c r="T44" s="248" t="s">
        <v>5</v>
      </c>
      <c r="U44" s="249" t="s">
        <v>5</v>
      </c>
      <c r="V44" s="250" t="s">
        <v>5</v>
      </c>
      <c r="W44" s="40" t="str">
        <f t="shared" si="0"/>
        <v/>
      </c>
    </row>
    <row r="45" spans="1:23" ht="15.75" customHeight="1">
      <c r="A45" s="176"/>
      <c r="B45" s="25"/>
      <c r="C45" s="62"/>
      <c r="D45" s="65"/>
      <c r="E45" s="63"/>
      <c r="F45" s="87"/>
      <c r="G45" s="35"/>
      <c r="H45" s="35"/>
      <c r="I45" s="35"/>
      <c r="J45" s="35"/>
      <c r="K45" s="35"/>
      <c r="L45" s="35"/>
      <c r="M45" s="35"/>
      <c r="N45" s="35"/>
      <c r="O45" s="35"/>
      <c r="P45" s="35"/>
      <c r="Q45" s="35"/>
      <c r="R45" s="35"/>
      <c r="S45" s="35"/>
      <c r="T45" s="64"/>
      <c r="U45" s="67"/>
      <c r="V45" s="68"/>
    </row>
    <row r="46" spans="1:23" s="75" customFormat="1" ht="12.75" customHeight="1">
      <c r="A46" s="535" t="s">
        <v>94</v>
      </c>
      <c r="B46" s="535"/>
      <c r="C46" s="535"/>
      <c r="D46" s="535"/>
      <c r="E46" s="535"/>
      <c r="F46" s="535"/>
      <c r="G46" s="535"/>
      <c r="H46" s="535"/>
      <c r="I46" s="535"/>
      <c r="J46" s="535"/>
      <c r="K46" s="535"/>
      <c r="L46" s="535"/>
      <c r="M46" s="535"/>
      <c r="N46" s="535"/>
      <c r="O46" s="535"/>
      <c r="P46" s="535"/>
      <c r="Q46" s="535"/>
      <c r="R46" s="535"/>
      <c r="S46" s="535"/>
      <c r="T46" s="535"/>
      <c r="U46" s="535"/>
      <c r="V46" s="535"/>
    </row>
    <row r="47" spans="1:23" s="76" customFormat="1" ht="12.75" customHeight="1">
      <c r="A47" s="539" t="s">
        <v>95</v>
      </c>
      <c r="B47" s="539"/>
      <c r="C47" s="539"/>
      <c r="D47" s="539"/>
      <c r="E47" s="539"/>
      <c r="F47" s="539"/>
      <c r="G47" s="539"/>
      <c r="H47" s="539"/>
      <c r="I47" s="539"/>
      <c r="J47" s="539"/>
      <c r="K47" s="539"/>
      <c r="L47" s="539"/>
      <c r="M47" s="539"/>
      <c r="N47" s="539"/>
      <c r="O47" s="539"/>
      <c r="P47" s="539"/>
      <c r="Q47" s="539"/>
      <c r="R47" s="539"/>
      <c r="S47" s="539"/>
      <c r="T47" s="539"/>
      <c r="U47" s="539"/>
      <c r="V47" s="539"/>
    </row>
    <row r="48" spans="1:23" s="76" customFormat="1" ht="12.75" customHeight="1">
      <c r="A48" s="539" t="s">
        <v>107</v>
      </c>
      <c r="B48" s="539"/>
      <c r="C48" s="539"/>
      <c r="D48" s="539"/>
      <c r="E48" s="539"/>
      <c r="F48" s="539"/>
      <c r="G48" s="539"/>
      <c r="H48" s="539"/>
      <c r="I48" s="539"/>
      <c r="J48" s="539"/>
      <c r="K48" s="539"/>
      <c r="L48" s="539"/>
      <c r="M48" s="539"/>
      <c r="N48" s="539"/>
      <c r="O48" s="539"/>
      <c r="P48" s="539"/>
      <c r="Q48" s="539"/>
      <c r="R48" s="539"/>
      <c r="S48" s="539"/>
      <c r="T48" s="539"/>
      <c r="U48" s="539"/>
      <c r="V48" s="539"/>
    </row>
    <row r="49" spans="1:33" s="76" customFormat="1" ht="12.75" customHeight="1">
      <c r="A49" s="539" t="s">
        <v>108</v>
      </c>
      <c r="B49" s="539"/>
      <c r="C49" s="539"/>
      <c r="D49" s="539"/>
      <c r="E49" s="539"/>
      <c r="F49" s="539"/>
      <c r="G49" s="539"/>
      <c r="H49" s="539"/>
      <c r="I49" s="539"/>
      <c r="J49" s="539"/>
      <c r="K49" s="539"/>
      <c r="L49" s="539"/>
      <c r="M49" s="539"/>
      <c r="N49" s="539"/>
      <c r="O49" s="539"/>
      <c r="P49" s="539"/>
      <c r="Q49" s="539"/>
      <c r="R49" s="539"/>
      <c r="S49" s="539"/>
      <c r="T49" s="539"/>
      <c r="U49" s="539"/>
      <c r="V49" s="539"/>
    </row>
    <row r="50" spans="1:33" s="76" customFormat="1" ht="12.75" customHeight="1">
      <c r="A50" s="516" t="s">
        <v>1</v>
      </c>
      <c r="B50" s="84" t="s">
        <v>122</v>
      </c>
      <c r="C50" s="530" t="s">
        <v>123</v>
      </c>
      <c r="D50" s="103"/>
      <c r="E50" s="103"/>
      <c r="F50" s="104"/>
      <c r="U50" s="497"/>
      <c r="V50" s="497"/>
    </row>
    <row r="51" spans="1:33" s="76" customFormat="1" ht="12.75" customHeight="1">
      <c r="A51" s="517"/>
      <c r="B51" s="85" t="s">
        <v>124</v>
      </c>
      <c r="C51" s="531" t="s">
        <v>126</v>
      </c>
      <c r="D51" s="105"/>
      <c r="E51" s="105"/>
      <c r="F51" s="106"/>
      <c r="U51" s="83"/>
      <c r="V51" s="83"/>
    </row>
    <row r="52" spans="1:33" s="76" customFormat="1" ht="12.75" customHeight="1">
      <c r="A52" s="517"/>
      <c r="B52" s="85" t="s">
        <v>125</v>
      </c>
      <c r="C52" s="531" t="s">
        <v>136</v>
      </c>
      <c r="D52" s="105"/>
      <c r="E52" s="105"/>
      <c r="F52" s="106"/>
      <c r="U52" s="83"/>
      <c r="V52" s="83"/>
    </row>
    <row r="53" spans="1:33" s="76" customFormat="1" ht="12.75" customHeight="1">
      <c r="A53" s="517"/>
      <c r="B53" s="85" t="s">
        <v>128</v>
      </c>
      <c r="C53" s="531" t="s">
        <v>129</v>
      </c>
      <c r="D53" s="105"/>
      <c r="E53" s="105"/>
      <c r="F53" s="106"/>
      <c r="U53" s="83"/>
      <c r="V53" s="83"/>
    </row>
    <row r="54" spans="1:33" s="76" customFormat="1" ht="12.75" customHeight="1">
      <c r="A54" s="517"/>
      <c r="B54" s="86" t="s">
        <v>130</v>
      </c>
      <c r="C54" s="109" t="s">
        <v>133</v>
      </c>
      <c r="D54" s="107"/>
      <c r="E54" s="107"/>
      <c r="F54" s="108"/>
      <c r="U54" s="83"/>
      <c r="V54" s="83"/>
    </row>
    <row r="55" spans="1:33" s="76" customFormat="1" ht="12.75" customHeight="1">
      <c r="A55" s="517"/>
      <c r="C55" s="533"/>
      <c r="D55" s="93"/>
      <c r="E55" s="93"/>
      <c r="F55" s="93"/>
      <c r="U55" s="83"/>
      <c r="V55" s="83"/>
    </row>
    <row r="56" spans="1:33" s="76" customFormat="1" ht="12.75" customHeight="1">
      <c r="A56" s="518" t="s">
        <v>127</v>
      </c>
      <c r="B56" s="84" t="s">
        <v>128</v>
      </c>
      <c r="C56" s="530" t="s">
        <v>129</v>
      </c>
      <c r="D56" s="103"/>
      <c r="E56" s="103"/>
      <c r="F56" s="104"/>
      <c r="G56" s="76" t="s">
        <v>255</v>
      </c>
      <c r="U56" s="497"/>
      <c r="V56" s="497"/>
    </row>
    <row r="57" spans="1:33" s="76" customFormat="1" ht="12.75" customHeight="1">
      <c r="A57" s="517"/>
      <c r="B57" s="85" t="s">
        <v>130</v>
      </c>
      <c r="C57" s="531" t="s">
        <v>133</v>
      </c>
      <c r="D57" s="105"/>
      <c r="E57" s="105"/>
      <c r="F57" s="106"/>
      <c r="G57" s="76" t="s">
        <v>256</v>
      </c>
      <c r="U57" s="83"/>
      <c r="V57" s="83"/>
    </row>
    <row r="58" spans="1:33" s="76" customFormat="1" ht="12.75" customHeight="1">
      <c r="A58" s="519"/>
      <c r="B58" s="86" t="s">
        <v>28</v>
      </c>
      <c r="C58" s="109" t="s">
        <v>214</v>
      </c>
      <c r="D58" s="109"/>
      <c r="E58" s="109"/>
      <c r="F58" s="110"/>
      <c r="G58" s="76" t="s">
        <v>257</v>
      </c>
      <c r="U58" s="83"/>
      <c r="V58" s="83"/>
    </row>
    <row r="59" spans="1:33" s="76" customFormat="1" ht="12.75" customHeight="1">
      <c r="A59" s="520"/>
      <c r="C59" s="78"/>
      <c r="D59" s="83"/>
      <c r="F59" s="83"/>
      <c r="G59" s="83"/>
      <c r="H59" s="83"/>
      <c r="I59" s="83"/>
      <c r="J59" s="83"/>
      <c r="K59" s="83"/>
      <c r="L59" s="83"/>
      <c r="M59" s="83"/>
      <c r="N59" s="83"/>
      <c r="O59" s="83"/>
      <c r="P59" s="83"/>
      <c r="Q59" s="83"/>
      <c r="R59" s="83"/>
      <c r="S59" s="83"/>
      <c r="T59" s="83"/>
      <c r="U59" s="83"/>
      <c r="V59" s="83"/>
    </row>
    <row r="60" spans="1:33" s="76" customFormat="1" ht="20.25" customHeight="1">
      <c r="A60" s="540" t="s">
        <v>96</v>
      </c>
      <c r="B60" s="540"/>
      <c r="C60" s="540"/>
      <c r="D60" s="540"/>
      <c r="E60" s="540"/>
      <c r="F60" s="540"/>
      <c r="G60" s="540"/>
      <c r="H60" s="540"/>
      <c r="I60" s="540"/>
      <c r="J60" s="540"/>
      <c r="K60" s="540"/>
      <c r="L60" s="540"/>
      <c r="M60" s="540"/>
      <c r="N60" s="540"/>
      <c r="O60" s="540"/>
      <c r="P60" s="540"/>
      <c r="Q60" s="540"/>
      <c r="R60" s="540"/>
      <c r="S60" s="540"/>
      <c r="T60" s="540"/>
      <c r="U60" s="540"/>
      <c r="V60" s="540"/>
    </row>
    <row r="61" spans="1:33" s="76" customFormat="1" ht="17.25" customHeight="1">
      <c r="A61" s="539" t="s">
        <v>97</v>
      </c>
      <c r="B61" s="539"/>
      <c r="C61" s="539"/>
      <c r="D61" s="539"/>
      <c r="E61" s="539"/>
      <c r="F61" s="539"/>
      <c r="G61" s="539"/>
      <c r="H61" s="539"/>
      <c r="I61" s="539"/>
      <c r="J61" s="539"/>
      <c r="K61" s="539"/>
      <c r="L61" s="539"/>
      <c r="M61" s="539"/>
      <c r="N61" s="539"/>
      <c r="O61" s="539"/>
      <c r="P61" s="539"/>
      <c r="Q61" s="539"/>
      <c r="R61" s="539"/>
      <c r="S61" s="539"/>
      <c r="T61" s="539"/>
      <c r="U61" s="539"/>
      <c r="V61" s="539"/>
    </row>
    <row r="62" spans="1:33" s="76" customFormat="1" ht="22.5" customHeight="1">
      <c r="A62" s="521" t="s">
        <v>98</v>
      </c>
      <c r="B62" s="177"/>
      <c r="C62" s="512"/>
      <c r="D62" s="177"/>
      <c r="E62" s="177"/>
      <c r="F62" s="177"/>
      <c r="G62" s="177"/>
      <c r="H62" s="177"/>
      <c r="I62" s="177"/>
      <c r="J62" s="177"/>
      <c r="K62" s="177"/>
      <c r="L62" s="177"/>
      <c r="M62" s="177"/>
      <c r="N62" s="177"/>
      <c r="O62" s="177"/>
      <c r="P62" s="177"/>
      <c r="Q62" s="177"/>
      <c r="R62" s="177"/>
      <c r="S62" s="177"/>
      <c r="T62" s="177"/>
      <c r="U62" s="177"/>
      <c r="V62" s="177"/>
    </row>
    <row r="63" spans="1:33" s="76" customFormat="1" ht="50.25" customHeight="1">
      <c r="A63" s="539" t="s">
        <v>238</v>
      </c>
      <c r="B63" s="539"/>
      <c r="C63" s="539"/>
      <c r="D63" s="539"/>
      <c r="E63" s="539"/>
      <c r="F63" s="539"/>
      <c r="G63" s="539"/>
      <c r="H63" s="539"/>
      <c r="I63" s="539"/>
      <c r="J63" s="539"/>
      <c r="K63" s="539"/>
      <c r="L63" s="539"/>
      <c r="M63" s="539"/>
      <c r="N63" s="539"/>
      <c r="O63" s="539"/>
      <c r="P63" s="539"/>
      <c r="Q63" s="539"/>
      <c r="R63" s="539"/>
      <c r="S63" s="539"/>
      <c r="T63" s="539"/>
      <c r="U63" s="539"/>
      <c r="V63" s="539"/>
      <c r="W63" s="83"/>
      <c r="X63" s="83"/>
      <c r="Y63" s="83"/>
      <c r="Z63" s="83"/>
      <c r="AA63" s="83"/>
      <c r="AB63" s="83"/>
      <c r="AC63" s="83"/>
      <c r="AD63" s="83"/>
      <c r="AE63" s="83"/>
      <c r="AF63" s="83"/>
      <c r="AG63" s="83"/>
    </row>
    <row r="64" spans="1:33" s="76" customFormat="1" ht="22.5" customHeight="1">
      <c r="A64" s="539" t="s">
        <v>226</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35.25" customHeight="1">
      <c r="A65" s="539" t="s">
        <v>227</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48.75" customHeight="1">
      <c r="A66" s="539" t="s">
        <v>228</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93" customHeight="1">
      <c r="A67" s="539" t="s">
        <v>251</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50.25" customHeight="1">
      <c r="A68" s="539" t="s">
        <v>230</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26.25" customHeight="1">
      <c r="A69" s="538"/>
      <c r="B69" s="538"/>
      <c r="C69" s="538"/>
      <c r="D69" s="538"/>
      <c r="E69" s="538"/>
      <c r="F69" s="538"/>
      <c r="G69" s="538"/>
      <c r="H69" s="538"/>
      <c r="I69" s="538"/>
      <c r="J69" s="538"/>
      <c r="K69" s="538"/>
      <c r="L69" s="538"/>
      <c r="M69" s="538"/>
      <c r="N69" s="538"/>
      <c r="O69" s="538"/>
      <c r="P69" s="538"/>
      <c r="Q69" s="538"/>
      <c r="R69" s="538"/>
      <c r="S69" s="538"/>
      <c r="T69" s="538"/>
      <c r="U69" s="538"/>
      <c r="V69" s="538"/>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s="76" customFormat="1" ht="25.5" customHeight="1">
      <c r="A71" s="540" t="s">
        <v>259</v>
      </c>
      <c r="B71" s="540"/>
      <c r="C71" s="540"/>
      <c r="D71" s="540"/>
      <c r="E71" s="540"/>
      <c r="F71" s="540"/>
      <c r="G71" s="540"/>
      <c r="H71" s="540"/>
      <c r="I71" s="540"/>
      <c r="J71" s="540"/>
      <c r="K71" s="540"/>
      <c r="L71" s="540"/>
      <c r="M71" s="540"/>
      <c r="N71" s="540"/>
      <c r="O71" s="540"/>
      <c r="P71" s="540"/>
      <c r="Q71" s="540"/>
      <c r="R71" s="540"/>
      <c r="S71" s="540"/>
      <c r="T71" s="540"/>
      <c r="U71" s="540"/>
      <c r="V71" s="540"/>
    </row>
    <row r="72" spans="1:33" s="76" customFormat="1" ht="24.75" customHeight="1">
      <c r="A72" s="540" t="s">
        <v>109</v>
      </c>
      <c r="B72" s="540"/>
      <c r="C72" s="540"/>
      <c r="D72" s="540"/>
      <c r="E72" s="540"/>
      <c r="F72" s="540"/>
      <c r="G72" s="540"/>
      <c r="H72" s="540"/>
      <c r="I72" s="540"/>
      <c r="J72" s="540"/>
      <c r="K72" s="540"/>
      <c r="L72" s="540"/>
      <c r="M72" s="540"/>
      <c r="N72" s="540"/>
      <c r="O72" s="540"/>
      <c r="P72" s="540"/>
      <c r="Q72" s="540"/>
      <c r="R72" s="540"/>
      <c r="S72" s="540"/>
      <c r="T72" s="540"/>
      <c r="U72" s="540"/>
      <c r="V72" s="540"/>
    </row>
    <row r="73" spans="1:33" s="76" customFormat="1" ht="33.75" customHeight="1">
      <c r="A73" s="540" t="s">
        <v>205</v>
      </c>
      <c r="B73" s="540"/>
      <c r="C73" s="540"/>
      <c r="D73" s="540"/>
      <c r="E73" s="540"/>
      <c r="F73" s="540"/>
      <c r="G73" s="540"/>
      <c r="H73" s="540"/>
      <c r="I73" s="540"/>
      <c r="J73" s="540"/>
      <c r="K73" s="540"/>
      <c r="L73" s="540"/>
      <c r="M73" s="540"/>
      <c r="N73" s="540"/>
      <c r="O73" s="540"/>
      <c r="P73" s="540"/>
      <c r="Q73" s="540"/>
      <c r="R73" s="540"/>
      <c r="S73" s="540"/>
      <c r="T73" s="540"/>
      <c r="U73" s="540"/>
      <c r="V73" s="540"/>
    </row>
    <row r="74" spans="1:33" s="76" customFormat="1" ht="26.25" customHeight="1">
      <c r="A74" s="540" t="s">
        <v>110</v>
      </c>
      <c r="B74" s="540"/>
      <c r="C74" s="540"/>
      <c r="D74" s="540"/>
      <c r="E74" s="540"/>
      <c r="F74" s="540"/>
      <c r="G74" s="540"/>
      <c r="H74" s="540"/>
      <c r="I74" s="540"/>
      <c r="J74" s="540"/>
      <c r="K74" s="540"/>
      <c r="L74" s="540"/>
      <c r="M74" s="540"/>
      <c r="N74" s="540"/>
      <c r="O74" s="540"/>
      <c r="P74" s="540"/>
      <c r="Q74" s="540"/>
      <c r="R74" s="540"/>
      <c r="S74" s="540"/>
      <c r="T74" s="540"/>
      <c r="U74" s="540"/>
      <c r="V74" s="540"/>
    </row>
    <row r="75" spans="1:33" s="76" customFormat="1" ht="47.25" customHeight="1">
      <c r="A75" s="540" t="s">
        <v>272</v>
      </c>
      <c r="B75" s="540"/>
      <c r="C75" s="540"/>
      <c r="D75" s="540"/>
      <c r="E75" s="540"/>
      <c r="F75" s="540"/>
      <c r="G75" s="540"/>
      <c r="H75" s="540"/>
      <c r="I75" s="540"/>
      <c r="J75" s="540"/>
      <c r="K75" s="540"/>
      <c r="L75" s="540"/>
      <c r="M75" s="540"/>
      <c r="N75" s="540"/>
      <c r="O75" s="540"/>
      <c r="P75" s="540"/>
      <c r="Q75" s="540"/>
      <c r="R75" s="540"/>
      <c r="S75" s="540"/>
      <c r="T75" s="540"/>
      <c r="U75" s="540"/>
      <c r="V75" s="540"/>
    </row>
    <row r="76" spans="1:33" s="76" customFormat="1" ht="20.25" customHeight="1">
      <c r="A76" s="540" t="s">
        <v>112</v>
      </c>
      <c r="B76" s="540"/>
      <c r="C76" s="540"/>
      <c r="D76" s="540"/>
      <c r="E76" s="540"/>
      <c r="F76" s="540"/>
      <c r="G76" s="540"/>
      <c r="H76" s="540"/>
      <c r="I76" s="540"/>
      <c r="J76" s="540"/>
      <c r="K76" s="540"/>
      <c r="L76" s="540"/>
      <c r="M76" s="540"/>
      <c r="N76" s="540"/>
      <c r="O76" s="540"/>
      <c r="P76" s="540"/>
      <c r="Q76" s="540"/>
      <c r="R76" s="540"/>
      <c r="S76" s="540"/>
      <c r="T76" s="540"/>
      <c r="U76" s="540"/>
      <c r="V76" s="540"/>
    </row>
    <row r="77" spans="1:33" s="76" customFormat="1" ht="20.25" customHeight="1">
      <c r="A77" s="540" t="s">
        <v>217</v>
      </c>
      <c r="B77" s="540"/>
      <c r="C77" s="540"/>
      <c r="D77" s="540"/>
      <c r="E77" s="540"/>
      <c r="F77" s="540"/>
      <c r="G77" s="540"/>
      <c r="H77" s="540"/>
      <c r="I77" s="540"/>
      <c r="J77" s="540"/>
      <c r="K77" s="540"/>
      <c r="L77" s="540"/>
      <c r="M77" s="540"/>
      <c r="N77" s="540"/>
      <c r="O77" s="540"/>
      <c r="P77" s="540"/>
      <c r="Q77" s="540"/>
      <c r="R77" s="540"/>
      <c r="S77" s="540"/>
      <c r="T77" s="540"/>
      <c r="U77" s="540"/>
      <c r="V77" s="540"/>
    </row>
    <row r="78" spans="1:33" s="76" customFormat="1" ht="27.75" customHeight="1">
      <c r="A78" s="540" t="s">
        <v>207</v>
      </c>
      <c r="B78" s="540"/>
      <c r="C78" s="540"/>
      <c r="D78" s="540"/>
      <c r="E78" s="540"/>
      <c r="F78" s="540"/>
      <c r="G78" s="540"/>
      <c r="H78" s="540"/>
      <c r="I78" s="540"/>
      <c r="J78" s="540"/>
      <c r="K78" s="540"/>
      <c r="L78" s="540"/>
      <c r="M78" s="540"/>
      <c r="N78" s="540"/>
      <c r="O78" s="540"/>
      <c r="P78" s="540"/>
      <c r="Q78" s="540"/>
      <c r="R78" s="540"/>
      <c r="S78" s="540"/>
      <c r="T78" s="540"/>
      <c r="U78" s="540"/>
      <c r="V78" s="540"/>
    </row>
    <row r="79" spans="1:33" s="76" customFormat="1" ht="59.25" customHeight="1">
      <c r="A79" s="540" t="s">
        <v>278</v>
      </c>
      <c r="B79" s="540"/>
      <c r="C79" s="540"/>
      <c r="D79" s="540"/>
      <c r="E79" s="540"/>
      <c r="F79" s="540"/>
      <c r="G79" s="540"/>
      <c r="H79" s="540"/>
      <c r="I79" s="540"/>
      <c r="J79" s="540"/>
      <c r="K79" s="540"/>
      <c r="L79" s="540"/>
      <c r="M79" s="540"/>
      <c r="N79" s="540"/>
      <c r="O79" s="540"/>
      <c r="P79" s="540"/>
      <c r="Q79" s="540"/>
      <c r="R79" s="540"/>
      <c r="S79" s="540"/>
      <c r="T79" s="540"/>
      <c r="U79" s="540"/>
      <c r="V79" s="540"/>
    </row>
    <row r="80" spans="1:33" s="76" customFormat="1" ht="21" customHeight="1">
      <c r="A80" s="541" t="s">
        <v>209</v>
      </c>
      <c r="B80" s="541"/>
      <c r="C80" s="541"/>
      <c r="D80" s="541"/>
      <c r="E80" s="541"/>
      <c r="F80" s="541"/>
      <c r="G80" s="541"/>
      <c r="H80" s="541"/>
      <c r="I80" s="541"/>
      <c r="J80" s="541"/>
      <c r="K80" s="541"/>
      <c r="L80" s="541"/>
      <c r="M80" s="541"/>
      <c r="N80" s="541"/>
      <c r="O80" s="541"/>
      <c r="P80" s="541"/>
      <c r="Q80" s="541"/>
      <c r="R80" s="541"/>
      <c r="S80" s="541"/>
      <c r="T80" s="541"/>
      <c r="U80" s="541"/>
      <c r="V80" s="541"/>
    </row>
    <row r="81" spans="1:22" s="76" customFormat="1" ht="31.5" customHeight="1">
      <c r="A81" s="540" t="s">
        <v>274</v>
      </c>
      <c r="B81" s="540"/>
      <c r="C81" s="540"/>
      <c r="D81" s="540"/>
      <c r="E81" s="540"/>
      <c r="F81" s="540"/>
      <c r="G81" s="540"/>
      <c r="H81" s="540"/>
      <c r="I81" s="540"/>
      <c r="J81" s="540"/>
      <c r="K81" s="540"/>
      <c r="L81" s="540"/>
      <c r="M81" s="540"/>
      <c r="N81" s="540"/>
      <c r="O81" s="540"/>
      <c r="P81" s="540"/>
      <c r="Q81" s="540"/>
      <c r="R81" s="540"/>
      <c r="S81" s="540"/>
      <c r="T81" s="540"/>
      <c r="U81" s="540"/>
      <c r="V81" s="540"/>
    </row>
    <row r="82" spans="1:22" s="76" customFormat="1" ht="47.25" customHeight="1">
      <c r="A82" s="540" t="s">
        <v>276</v>
      </c>
      <c r="B82" s="540"/>
      <c r="C82" s="540"/>
      <c r="D82" s="540"/>
      <c r="E82" s="540"/>
      <c r="F82" s="540"/>
      <c r="G82" s="540"/>
      <c r="H82" s="540"/>
      <c r="I82" s="540"/>
      <c r="J82" s="540"/>
      <c r="K82" s="540"/>
      <c r="L82" s="540"/>
      <c r="M82" s="540"/>
      <c r="N82" s="540"/>
      <c r="O82" s="540"/>
      <c r="P82" s="540"/>
      <c r="Q82" s="540"/>
      <c r="R82" s="540"/>
      <c r="S82" s="540"/>
      <c r="T82" s="540"/>
      <c r="U82" s="540"/>
      <c r="V82" s="540"/>
    </row>
    <row r="83" spans="1:22" s="76" customFormat="1" ht="21" customHeight="1">
      <c r="A83" s="540" t="s">
        <v>116</v>
      </c>
      <c r="B83" s="540"/>
      <c r="C83" s="540"/>
      <c r="D83" s="540"/>
      <c r="E83" s="540"/>
      <c r="F83" s="540"/>
      <c r="G83" s="540"/>
      <c r="H83" s="540"/>
      <c r="I83" s="540"/>
      <c r="J83" s="540"/>
      <c r="K83" s="540"/>
      <c r="L83" s="540"/>
      <c r="M83" s="540"/>
      <c r="N83" s="540"/>
      <c r="O83" s="540"/>
      <c r="P83" s="540"/>
      <c r="Q83" s="540"/>
      <c r="R83" s="540"/>
      <c r="S83" s="540"/>
      <c r="T83" s="540"/>
      <c r="U83" s="540"/>
      <c r="V83" s="540"/>
    </row>
    <row r="84" spans="1:22" s="76" customFormat="1" ht="26.25" customHeight="1">
      <c r="A84" s="540" t="s">
        <v>117</v>
      </c>
      <c r="B84" s="540"/>
      <c r="C84" s="540"/>
      <c r="D84" s="540"/>
      <c r="E84" s="540"/>
      <c r="F84" s="540"/>
      <c r="G84" s="540"/>
      <c r="H84" s="540"/>
      <c r="I84" s="540"/>
      <c r="J84" s="540"/>
      <c r="K84" s="540"/>
      <c r="L84" s="540"/>
      <c r="M84" s="540"/>
      <c r="N84" s="540"/>
      <c r="O84" s="540"/>
      <c r="P84" s="540"/>
      <c r="Q84" s="540"/>
      <c r="R84" s="540"/>
      <c r="S84" s="540"/>
      <c r="T84" s="540"/>
      <c r="U84" s="540"/>
      <c r="V84" s="540"/>
    </row>
    <row r="85" spans="1:22" s="76" customFormat="1" ht="20.25" customHeight="1">
      <c r="A85" s="540" t="s">
        <v>118</v>
      </c>
      <c r="B85" s="540"/>
      <c r="C85" s="540"/>
      <c r="D85" s="540"/>
      <c r="E85" s="540"/>
      <c r="F85" s="540"/>
      <c r="G85" s="540"/>
      <c r="H85" s="540"/>
      <c r="I85" s="540"/>
      <c r="J85" s="540"/>
      <c r="K85" s="540"/>
      <c r="L85" s="540"/>
      <c r="M85" s="540"/>
      <c r="N85" s="540"/>
      <c r="O85" s="540"/>
      <c r="P85" s="540"/>
      <c r="Q85" s="540"/>
      <c r="R85" s="540"/>
      <c r="S85" s="540"/>
      <c r="T85" s="540"/>
      <c r="U85" s="540"/>
      <c r="V85" s="540"/>
    </row>
    <row r="86" spans="1:22" s="76" customFormat="1" ht="25.5" customHeight="1">
      <c r="A86" s="540" t="s">
        <v>119</v>
      </c>
      <c r="B86" s="540"/>
      <c r="C86" s="540"/>
      <c r="D86" s="540"/>
      <c r="E86" s="540"/>
      <c r="F86" s="540"/>
      <c r="G86" s="540"/>
      <c r="H86" s="540"/>
      <c r="I86" s="540"/>
      <c r="J86" s="540"/>
      <c r="K86" s="540"/>
      <c r="L86" s="540"/>
      <c r="M86" s="540"/>
      <c r="N86" s="540"/>
      <c r="O86" s="540"/>
      <c r="P86" s="540"/>
      <c r="Q86" s="540"/>
      <c r="R86" s="540"/>
      <c r="S86" s="540"/>
      <c r="T86" s="540"/>
      <c r="U86" s="540"/>
      <c r="V86" s="540"/>
    </row>
    <row r="87" spans="1:22" s="76" customFormat="1" ht="23.25" customHeight="1">
      <c r="A87" s="540" t="s">
        <v>100</v>
      </c>
      <c r="B87" s="540"/>
      <c r="C87" s="540"/>
      <c r="D87" s="540"/>
      <c r="E87" s="540"/>
      <c r="F87" s="540"/>
      <c r="G87" s="540"/>
      <c r="H87" s="540"/>
      <c r="I87" s="540"/>
      <c r="J87" s="540"/>
      <c r="K87" s="540"/>
      <c r="L87" s="540"/>
      <c r="M87" s="540"/>
      <c r="N87" s="540"/>
      <c r="O87" s="540"/>
      <c r="P87" s="540"/>
      <c r="Q87" s="540"/>
      <c r="R87" s="540"/>
      <c r="S87" s="540"/>
      <c r="T87" s="540"/>
      <c r="U87" s="540"/>
      <c r="V87" s="540"/>
    </row>
    <row r="88" spans="1:22" s="76" customFormat="1" ht="33.75" customHeight="1">
      <c r="A88" s="539" t="s">
        <v>120</v>
      </c>
      <c r="B88" s="539"/>
      <c r="C88" s="539"/>
      <c r="D88" s="539"/>
      <c r="E88" s="539"/>
      <c r="F88" s="539"/>
      <c r="G88" s="539"/>
      <c r="H88" s="539"/>
      <c r="I88" s="539"/>
      <c r="J88" s="539"/>
      <c r="K88" s="539"/>
      <c r="L88" s="539"/>
      <c r="M88" s="539"/>
      <c r="N88" s="539"/>
      <c r="O88" s="539"/>
      <c r="P88" s="539"/>
      <c r="Q88" s="539"/>
      <c r="R88" s="539"/>
      <c r="S88" s="539"/>
      <c r="T88" s="539"/>
      <c r="U88" s="539"/>
      <c r="V88" s="539"/>
    </row>
    <row r="89" spans="1:22" s="76" customFormat="1" ht="21" customHeight="1">
      <c r="A89" s="540" t="s">
        <v>121</v>
      </c>
      <c r="B89" s="540"/>
      <c r="C89" s="540"/>
      <c r="D89" s="540"/>
      <c r="E89" s="540"/>
      <c r="F89" s="540"/>
      <c r="G89" s="540"/>
      <c r="H89" s="540"/>
      <c r="I89" s="540"/>
      <c r="J89" s="540"/>
      <c r="K89" s="540"/>
      <c r="L89" s="540"/>
      <c r="M89" s="540"/>
      <c r="N89" s="540"/>
      <c r="O89" s="540"/>
      <c r="P89" s="540"/>
      <c r="Q89" s="540"/>
      <c r="R89" s="540"/>
      <c r="S89" s="540"/>
      <c r="T89" s="540"/>
      <c r="U89" s="540"/>
      <c r="V89" s="540"/>
    </row>
    <row r="90" spans="1:22" s="76" customFormat="1" ht="74.25" customHeight="1">
      <c r="A90" s="539" t="s">
        <v>101</v>
      </c>
      <c r="B90" s="539"/>
      <c r="C90" s="539"/>
      <c r="D90" s="539"/>
      <c r="E90" s="539"/>
      <c r="F90" s="539"/>
      <c r="G90" s="539"/>
      <c r="H90" s="539"/>
      <c r="I90" s="539"/>
      <c r="J90" s="539"/>
      <c r="K90" s="539"/>
      <c r="L90" s="539"/>
      <c r="M90" s="539"/>
      <c r="N90" s="539"/>
      <c r="O90" s="539"/>
      <c r="P90" s="539"/>
      <c r="Q90" s="539"/>
      <c r="R90" s="539"/>
      <c r="S90" s="539"/>
      <c r="T90" s="539"/>
      <c r="U90" s="539"/>
      <c r="V90" s="539"/>
    </row>
    <row r="91" spans="1:22" s="76" customFormat="1">
      <c r="A91" s="520"/>
      <c r="C91" s="78"/>
      <c r="E91" s="79"/>
      <c r="F91" s="80"/>
      <c r="G91" s="80"/>
      <c r="H91" s="80"/>
      <c r="I91" s="80"/>
      <c r="J91" s="80"/>
      <c r="K91" s="80"/>
      <c r="L91" s="80"/>
      <c r="M91" s="80"/>
      <c r="N91" s="80"/>
      <c r="O91" s="80"/>
      <c r="P91" s="80"/>
      <c r="Q91" s="80"/>
      <c r="R91" s="80"/>
      <c r="S91" s="80"/>
      <c r="T91" s="81"/>
      <c r="V91" s="82"/>
    </row>
    <row r="92" spans="1:22" s="76" customFormat="1">
      <c r="A92" s="520"/>
      <c r="C92" s="78"/>
      <c r="E92" s="79"/>
      <c r="F92" s="80"/>
      <c r="G92" s="80"/>
      <c r="H92" s="80"/>
      <c r="I92" s="80"/>
      <c r="J92" s="80"/>
      <c r="K92" s="80"/>
      <c r="L92" s="80"/>
      <c r="M92" s="80"/>
      <c r="N92" s="80"/>
      <c r="O92" s="80"/>
      <c r="P92" s="80"/>
      <c r="Q92" s="80"/>
      <c r="R92" s="80"/>
      <c r="S92" s="80"/>
      <c r="T92" s="81"/>
      <c r="V92" s="82"/>
    </row>
    <row r="93" spans="1:22" s="76" customFormat="1">
      <c r="A93" s="520"/>
      <c r="C93" s="78"/>
      <c r="E93" s="79"/>
      <c r="F93" s="80"/>
      <c r="G93" s="80"/>
      <c r="H93" s="80"/>
      <c r="I93" s="80"/>
      <c r="J93" s="80"/>
      <c r="K93" s="80"/>
      <c r="L93" s="80"/>
      <c r="M93" s="80"/>
      <c r="N93" s="80"/>
      <c r="O93" s="80"/>
      <c r="P93" s="80"/>
      <c r="Q93" s="80"/>
      <c r="R93" s="80"/>
      <c r="S93" s="80"/>
      <c r="T93" s="81"/>
      <c r="V93" s="82"/>
    </row>
    <row r="94" spans="1:22" s="76" customFormat="1">
      <c r="A94" s="520"/>
      <c r="C94" s="78"/>
      <c r="E94" s="79"/>
      <c r="F94" s="80"/>
      <c r="G94" s="80"/>
      <c r="H94" s="80"/>
      <c r="I94" s="80"/>
      <c r="J94" s="80"/>
      <c r="K94" s="80"/>
      <c r="L94" s="80"/>
      <c r="M94" s="80"/>
      <c r="N94" s="80"/>
      <c r="O94" s="80"/>
      <c r="P94" s="80"/>
      <c r="Q94" s="80"/>
      <c r="R94" s="80"/>
      <c r="S94" s="80"/>
      <c r="T94" s="81"/>
      <c r="V94" s="82"/>
    </row>
    <row r="95" spans="1:22" s="76" customFormat="1">
      <c r="A95" s="520"/>
      <c r="C95" s="78"/>
      <c r="E95" s="79"/>
      <c r="F95" s="80"/>
      <c r="G95" s="80"/>
      <c r="H95" s="80"/>
      <c r="I95" s="80"/>
      <c r="J95" s="80"/>
      <c r="K95" s="80"/>
      <c r="L95" s="80"/>
      <c r="M95" s="80"/>
      <c r="N95" s="80"/>
      <c r="O95" s="80"/>
      <c r="P95" s="80"/>
      <c r="Q95" s="80"/>
      <c r="R95" s="80"/>
      <c r="S95" s="80"/>
      <c r="T95" s="81"/>
      <c r="V95" s="82"/>
    </row>
    <row r="96" spans="1:22" s="76" customFormat="1">
      <c r="A96" s="520"/>
      <c r="C96" s="78"/>
      <c r="E96" s="79"/>
      <c r="F96" s="80"/>
      <c r="G96" s="80"/>
      <c r="H96" s="80"/>
      <c r="I96" s="80"/>
      <c r="J96" s="80"/>
      <c r="K96" s="80"/>
      <c r="L96" s="80"/>
      <c r="M96" s="80"/>
      <c r="N96" s="80"/>
      <c r="O96" s="80"/>
      <c r="P96" s="80"/>
      <c r="Q96" s="80"/>
      <c r="R96" s="80"/>
      <c r="S96" s="80"/>
      <c r="T96" s="81"/>
      <c r="V96" s="82"/>
    </row>
    <row r="97" spans="1:64" s="76" customFormat="1">
      <c r="A97" s="520"/>
      <c r="C97" s="78"/>
      <c r="E97" s="79"/>
      <c r="F97" s="80"/>
      <c r="G97" s="80"/>
      <c r="H97" s="80"/>
      <c r="I97" s="80"/>
      <c r="J97" s="80"/>
      <c r="K97" s="80"/>
      <c r="L97" s="80"/>
      <c r="M97" s="80"/>
      <c r="N97" s="80"/>
      <c r="O97" s="80"/>
      <c r="P97" s="80"/>
      <c r="Q97" s="80"/>
      <c r="R97" s="80"/>
      <c r="S97" s="80"/>
      <c r="T97" s="81"/>
      <c r="V97" s="82"/>
    </row>
    <row r="98" spans="1:64" s="76" customFormat="1">
      <c r="A98" s="520"/>
      <c r="C98" s="78"/>
      <c r="E98" s="79"/>
      <c r="F98" s="80"/>
      <c r="G98" s="80"/>
      <c r="H98" s="80"/>
      <c r="I98" s="80"/>
      <c r="J98" s="80"/>
      <c r="K98" s="80"/>
      <c r="L98" s="80"/>
      <c r="M98" s="80"/>
      <c r="N98" s="80"/>
      <c r="O98" s="80"/>
      <c r="P98" s="80"/>
      <c r="Q98" s="80"/>
      <c r="R98" s="80"/>
      <c r="S98" s="80"/>
      <c r="T98" s="81"/>
      <c r="V98" s="82"/>
    </row>
    <row r="99" spans="1:64" s="76" customFormat="1">
      <c r="A99" s="520"/>
      <c r="C99" s="78"/>
      <c r="E99" s="79"/>
      <c r="F99" s="80"/>
      <c r="G99" s="80"/>
      <c r="H99" s="80"/>
      <c r="I99" s="80"/>
      <c r="J99" s="80"/>
      <c r="K99" s="80"/>
      <c r="L99" s="80"/>
      <c r="M99" s="80"/>
      <c r="N99" s="80"/>
      <c r="O99" s="80"/>
      <c r="P99" s="80"/>
      <c r="Q99" s="80"/>
      <c r="R99" s="80"/>
      <c r="S99" s="80"/>
      <c r="T99" s="81"/>
      <c r="V99" s="82"/>
    </row>
    <row r="100" spans="1:64" s="76" customFormat="1">
      <c r="A100" s="520"/>
      <c r="C100" s="78"/>
      <c r="E100" s="79"/>
      <c r="F100" s="80"/>
      <c r="G100" s="80"/>
      <c r="H100" s="80"/>
      <c r="I100" s="80"/>
      <c r="J100" s="80"/>
      <c r="K100" s="80"/>
      <c r="L100" s="80"/>
      <c r="M100" s="80"/>
      <c r="N100" s="80"/>
      <c r="O100" s="80"/>
      <c r="P100" s="80"/>
      <c r="Q100" s="80"/>
      <c r="R100" s="80"/>
      <c r="S100" s="80"/>
      <c r="T100" s="81"/>
      <c r="V100" s="82"/>
    </row>
    <row r="101" spans="1:64" s="76" customFormat="1">
      <c r="A101" s="520"/>
      <c r="C101" s="78"/>
      <c r="E101" s="79"/>
      <c r="F101" s="80"/>
      <c r="G101" s="80"/>
      <c r="H101" s="80"/>
      <c r="I101" s="80"/>
      <c r="J101" s="80"/>
      <c r="K101" s="80"/>
      <c r="L101" s="80"/>
      <c r="M101" s="80"/>
      <c r="N101" s="80"/>
      <c r="O101" s="80"/>
      <c r="P101" s="80"/>
      <c r="Q101" s="80"/>
      <c r="R101" s="80"/>
      <c r="S101" s="80"/>
      <c r="T101" s="81"/>
      <c r="V101" s="82"/>
    </row>
    <row r="102" spans="1:64" s="76" customFormat="1">
      <c r="A102" s="520"/>
      <c r="C102" s="78"/>
      <c r="E102" s="79"/>
      <c r="F102" s="80"/>
      <c r="G102" s="80"/>
      <c r="H102" s="80"/>
      <c r="I102" s="80"/>
      <c r="J102" s="80"/>
      <c r="K102" s="80"/>
      <c r="L102" s="80"/>
      <c r="M102" s="80"/>
      <c r="N102" s="80"/>
      <c r="O102" s="80"/>
      <c r="P102" s="80"/>
      <c r="Q102" s="80"/>
      <c r="R102" s="80"/>
      <c r="S102" s="80"/>
      <c r="T102" s="81"/>
      <c r="V102" s="82"/>
    </row>
    <row r="103" spans="1:64" s="76" customFormat="1">
      <c r="A103" s="520"/>
      <c r="C103" s="78"/>
      <c r="E103" s="79"/>
      <c r="F103" s="80"/>
      <c r="G103" s="80"/>
      <c r="H103" s="80"/>
      <c r="I103" s="80"/>
      <c r="J103" s="80"/>
      <c r="K103" s="80"/>
      <c r="L103" s="80"/>
      <c r="M103" s="80"/>
      <c r="N103" s="80"/>
      <c r="O103" s="80"/>
      <c r="P103" s="80"/>
      <c r="Q103" s="80"/>
      <c r="R103" s="80"/>
      <c r="S103" s="80"/>
      <c r="T103" s="81"/>
      <c r="V103" s="82"/>
    </row>
    <row r="104" spans="1:64" s="76" customFormat="1">
      <c r="A104" s="520"/>
      <c r="C104" s="78"/>
      <c r="E104" s="79"/>
      <c r="F104" s="80"/>
      <c r="G104" s="80"/>
      <c r="H104" s="80"/>
      <c r="I104" s="80"/>
      <c r="J104" s="80"/>
      <c r="K104" s="80"/>
      <c r="L104" s="80"/>
      <c r="M104" s="80"/>
      <c r="N104" s="80"/>
      <c r="O104" s="80"/>
      <c r="P104" s="80"/>
      <c r="Q104" s="80"/>
      <c r="R104" s="80"/>
      <c r="S104" s="80"/>
      <c r="T104" s="81"/>
      <c r="V104" s="82"/>
    </row>
    <row r="105" spans="1:64" s="76" customFormat="1">
      <c r="A105" s="520"/>
      <c r="C105" s="78"/>
      <c r="E105" s="79"/>
      <c r="F105" s="80"/>
      <c r="G105" s="80"/>
      <c r="H105" s="80"/>
      <c r="I105" s="80"/>
      <c r="J105" s="80"/>
      <c r="K105" s="80"/>
      <c r="L105" s="80"/>
      <c r="M105" s="80"/>
      <c r="N105" s="80"/>
      <c r="O105" s="80"/>
      <c r="P105" s="80"/>
      <c r="Q105" s="80"/>
      <c r="R105" s="80"/>
      <c r="S105" s="80"/>
      <c r="T105" s="81"/>
      <c r="V105" s="82"/>
    </row>
    <row r="112" spans="1:64">
      <c r="A112" s="522"/>
      <c r="B112" s="69"/>
      <c r="C112" s="528"/>
      <c r="D112" s="70"/>
      <c r="E112" s="74"/>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row>
    <row r="113" spans="1:64">
      <c r="A113" s="523"/>
      <c r="B113" s="70"/>
      <c r="C113" s="528"/>
      <c r="D113" s="70"/>
      <c r="E113" s="74"/>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row>
  </sheetData>
  <mergeCells count="39">
    <mergeCell ref="A46:V46"/>
    <mergeCell ref="F3:G3"/>
    <mergeCell ref="I3:J3"/>
    <mergeCell ref="L3:M3"/>
    <mergeCell ref="O3:P3"/>
    <mergeCell ref="R3:S3"/>
    <mergeCell ref="A69:V69"/>
    <mergeCell ref="A47:V47"/>
    <mergeCell ref="A48:V48"/>
    <mergeCell ref="A49:V49"/>
    <mergeCell ref="A60:V60"/>
    <mergeCell ref="A61:V61"/>
    <mergeCell ref="A63:V63"/>
    <mergeCell ref="A64:V64"/>
    <mergeCell ref="A65:V65"/>
    <mergeCell ref="A66:V66"/>
    <mergeCell ref="A67:V67"/>
    <mergeCell ref="A68:V68"/>
    <mergeCell ref="A80:V80"/>
    <mergeCell ref="A70:V70"/>
    <mergeCell ref="A71:V71"/>
    <mergeCell ref="A72:V72"/>
    <mergeCell ref="A73:V73"/>
    <mergeCell ref="A74:V74"/>
    <mergeCell ref="A75:V75"/>
    <mergeCell ref="A76:V76"/>
    <mergeCell ref="A77:V77"/>
    <mergeCell ref="A78:V78"/>
    <mergeCell ref="A79:V79"/>
    <mergeCell ref="A87:V87"/>
    <mergeCell ref="A88:V88"/>
    <mergeCell ref="A89:V89"/>
    <mergeCell ref="A90:V90"/>
    <mergeCell ref="A81:V81"/>
    <mergeCell ref="A82:V82"/>
    <mergeCell ref="A83:V83"/>
    <mergeCell ref="A84:V84"/>
    <mergeCell ref="A85:V85"/>
    <mergeCell ref="A86:V86"/>
  </mergeCells>
  <printOptions horizontalCentered="1" gridLines="1"/>
  <pageMargins left="0.19685039370078741" right="0.19685039370078741" top="0.19685039370078741" bottom="0.19685039370078741" header="0.15748031496062992" footer="0.23622047244094491"/>
  <pageSetup paperSize="9" scale="71" fitToHeight="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BL113"/>
  <sheetViews>
    <sheetView zoomScaleNormal="100" workbookViewId="0"/>
  </sheetViews>
  <sheetFormatPr defaultRowHeight="12.75"/>
  <cols>
    <col min="1" max="1" width="18.7109375" style="501" customWidth="1"/>
    <col min="2" max="2" width="10.28515625" style="40" bestFit="1" customWidth="1"/>
    <col min="3" max="3" width="12.7109375" style="30" customWidth="1"/>
    <col min="4" max="4" width="12.7109375" style="40" customWidth="1"/>
    <col min="5" max="5" width="8.7109375" style="60" customWidth="1"/>
    <col min="6" max="7" width="12.7109375" style="71" customWidth="1"/>
    <col min="8" max="8" width="8.7109375" style="71" customWidth="1"/>
    <col min="9" max="10" width="12.7109375" style="71" customWidth="1"/>
    <col min="11" max="11" width="8.7109375" style="71" customWidth="1"/>
    <col min="12" max="13" width="12.7109375" style="71" customWidth="1"/>
    <col min="14" max="14" width="8.7109375" style="71" customWidth="1"/>
    <col min="15" max="16" width="12.7109375" style="71" customWidth="1"/>
    <col min="17" max="17" width="8.7109375" style="71" customWidth="1"/>
    <col min="18" max="19" width="12.7109375" style="71" customWidth="1"/>
    <col min="20" max="20" width="12.7109375" style="72" customWidth="1"/>
    <col min="21" max="21" width="5" style="40" bestFit="1" customWidth="1"/>
    <col min="22" max="22" width="15.42578125" style="73" customWidth="1"/>
    <col min="23" max="23" width="12.7109375" style="40" hidden="1" customWidth="1"/>
    <col min="24" max="37" width="12.7109375" style="40" customWidth="1"/>
    <col min="38" max="16384" width="9.140625" style="40"/>
  </cols>
  <sheetData>
    <row r="1" spans="1:23" s="41" customFormat="1" ht="30" customHeight="1">
      <c r="A1" s="514" t="s">
        <v>212</v>
      </c>
      <c r="B1" s="44"/>
      <c r="C1" s="508"/>
      <c r="D1" s="45"/>
      <c r="E1" s="46"/>
      <c r="F1" s="47"/>
      <c r="G1" s="47"/>
      <c r="H1" s="47"/>
      <c r="I1" s="47"/>
      <c r="J1" s="47"/>
      <c r="K1" s="47"/>
      <c r="L1" s="47"/>
      <c r="M1" s="47"/>
      <c r="N1" s="47"/>
      <c r="O1" s="47"/>
      <c r="P1" s="47"/>
      <c r="Q1" s="47"/>
      <c r="R1" s="47"/>
      <c r="S1" s="47"/>
      <c r="T1" s="45"/>
      <c r="U1" s="45"/>
      <c r="V1" s="48"/>
    </row>
    <row r="2" spans="1:23" s="41" customFormat="1" ht="30" customHeight="1">
      <c r="A2" s="514" t="s">
        <v>103</v>
      </c>
      <c r="B2" s="44"/>
      <c r="C2" s="508"/>
      <c r="D2" s="45"/>
      <c r="E2" s="46"/>
      <c r="F2" s="47"/>
      <c r="G2" s="47"/>
      <c r="H2" s="47"/>
      <c r="I2" s="47"/>
      <c r="J2" s="47"/>
      <c r="K2" s="47"/>
      <c r="L2" s="47"/>
      <c r="M2" s="47"/>
      <c r="N2" s="47"/>
      <c r="O2" s="47"/>
      <c r="P2" s="47"/>
      <c r="Q2" s="47"/>
      <c r="R2" s="47"/>
      <c r="S2" s="47"/>
      <c r="T2" s="45"/>
      <c r="U2" s="45"/>
      <c r="V2" s="48"/>
    </row>
    <row r="3" spans="1:23" s="41" customFormat="1" ht="30" customHeight="1">
      <c r="A3" s="514"/>
      <c r="B3" s="44"/>
      <c r="C3" s="508"/>
      <c r="D3" s="45"/>
      <c r="E3" s="46"/>
      <c r="F3" s="536" t="s">
        <v>248</v>
      </c>
      <c r="G3" s="537"/>
      <c r="H3" s="47"/>
      <c r="I3" s="536" t="s">
        <v>248</v>
      </c>
      <c r="J3" s="537"/>
      <c r="K3" s="47"/>
      <c r="L3" s="536" t="s">
        <v>248</v>
      </c>
      <c r="M3" s="537"/>
      <c r="N3" s="47"/>
      <c r="O3" s="536" t="s">
        <v>248</v>
      </c>
      <c r="P3" s="537"/>
      <c r="Q3" s="47"/>
      <c r="R3" s="536" t="s">
        <v>248</v>
      </c>
      <c r="S3" s="537"/>
      <c r="T3" s="45"/>
      <c r="U3" s="45"/>
      <c r="V3" s="48"/>
    </row>
    <row r="4" spans="1:23" ht="48.75" customHeight="1">
      <c r="A4" s="515" t="s">
        <v>3</v>
      </c>
      <c r="B4" s="209" t="s">
        <v>231</v>
      </c>
      <c r="C4" s="264" t="s">
        <v>1</v>
      </c>
      <c r="D4" s="251"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75" customHeight="1">
      <c r="A5" s="227" t="s">
        <v>33</v>
      </c>
      <c r="B5" s="495">
        <v>0</v>
      </c>
      <c r="C5" s="265" t="s">
        <v>250</v>
      </c>
      <c r="D5" s="252" t="s">
        <v>5</v>
      </c>
      <c r="E5" s="229" t="s">
        <v>5</v>
      </c>
      <c r="F5" s="230" t="s">
        <v>5</v>
      </c>
      <c r="G5" s="231" t="s">
        <v>5</v>
      </c>
      <c r="H5" s="232"/>
      <c r="I5" s="230"/>
      <c r="J5" s="231"/>
      <c r="K5" s="232"/>
      <c r="L5" s="230"/>
      <c r="M5" s="231"/>
      <c r="N5" s="232"/>
      <c r="O5" s="230"/>
      <c r="P5" s="231"/>
      <c r="Q5" s="232"/>
      <c r="R5" s="230"/>
      <c r="S5" s="231"/>
      <c r="T5" s="233" t="s">
        <v>5</v>
      </c>
      <c r="U5" s="228" t="s">
        <v>5</v>
      </c>
      <c r="V5" s="234" t="s">
        <v>5</v>
      </c>
      <c r="W5" s="40" t="str">
        <f>IF(U5="TY","A",IF(U5="TY/TYs","AB",IF(U5="TYs", "B",IF(U5="TC","C",IF(U5="-","",)))))</f>
        <v/>
      </c>
    </row>
    <row r="6" spans="1:23" ht="15.75" customHeight="1">
      <c r="A6" s="235" t="s">
        <v>50</v>
      </c>
      <c r="B6" s="253">
        <v>1</v>
      </c>
      <c r="C6" s="266" t="s">
        <v>7</v>
      </c>
      <c r="D6" s="254" t="s">
        <v>5</v>
      </c>
      <c r="E6" s="143">
        <v>0</v>
      </c>
      <c r="F6" s="133">
        <v>0</v>
      </c>
      <c r="G6" s="134">
        <f>14*395.31</f>
        <v>5534.34</v>
      </c>
      <c r="H6" s="143">
        <f>((0.0395+0.1025)*100)+(0.5+0.5)*6/7</f>
        <v>15.057142857142857</v>
      </c>
      <c r="I6" s="133">
        <f>G6</f>
        <v>5534.34</v>
      </c>
      <c r="J6" s="134">
        <f>1246*14</f>
        <v>17444</v>
      </c>
      <c r="K6" s="143">
        <f>((0.0395+0.1025)*100)+(0.5+0.5)*6/7+1</f>
        <v>16.057142857142857</v>
      </c>
      <c r="L6" s="133">
        <f>J6</f>
        <v>17444</v>
      </c>
      <c r="M6" s="134">
        <f>1359*14</f>
        <v>19026</v>
      </c>
      <c r="N6" s="143">
        <f>((0.0395+0.1025)*100)+(0.5+0.5)*6/7+2</f>
        <v>17.057142857142857</v>
      </c>
      <c r="O6" s="133">
        <f>M6</f>
        <v>19026</v>
      </c>
      <c r="P6" s="134">
        <f>1530*14</f>
        <v>21420</v>
      </c>
      <c r="Q6" s="143">
        <f>((0.0395+0.1025)*100)+(0.5+0.5)*6/7+3</f>
        <v>18.057142857142857</v>
      </c>
      <c r="R6" s="133">
        <f>P6</f>
        <v>21420</v>
      </c>
      <c r="S6" s="134">
        <f>4530*14</f>
        <v>63420</v>
      </c>
      <c r="T6" s="189">
        <f>S6*Q6/100</f>
        <v>11451.84</v>
      </c>
      <c r="U6" s="62" t="s">
        <v>6</v>
      </c>
      <c r="V6" s="236">
        <v>100</v>
      </c>
      <c r="W6" s="40" t="str">
        <f>IF(U6="TY","A",IF(U6="TY/TYs","AB",IF(U6="TYs", "B",IF(U6="TC","C",IF(U6="-","",)))))</f>
        <v>A</v>
      </c>
    </row>
    <row r="7" spans="1:23" ht="15.75" customHeight="1">
      <c r="A7" s="235" t="s">
        <v>26</v>
      </c>
      <c r="B7" s="253">
        <v>1</v>
      </c>
      <c r="C7" s="267" t="s">
        <v>7</v>
      </c>
      <c r="D7" s="254" t="s">
        <v>5</v>
      </c>
      <c r="E7" s="143">
        <f>0.87+1.15+3.55+7.5</f>
        <v>13.07</v>
      </c>
      <c r="F7" s="218" t="s">
        <v>5</v>
      </c>
      <c r="G7" s="142" t="s">
        <v>5</v>
      </c>
      <c r="H7" s="121" t="s">
        <v>5</v>
      </c>
      <c r="I7" s="218" t="s">
        <v>5</v>
      </c>
      <c r="J7" s="142" t="s">
        <v>5</v>
      </c>
      <c r="K7" s="121" t="s">
        <v>5</v>
      </c>
      <c r="L7" s="218" t="s">
        <v>5</v>
      </c>
      <c r="M7" s="142" t="s">
        <v>5</v>
      </c>
      <c r="N7" s="121" t="s">
        <v>5</v>
      </c>
      <c r="O7" s="218" t="s">
        <v>5</v>
      </c>
      <c r="P7" s="142" t="s">
        <v>5</v>
      </c>
      <c r="Q7" s="121" t="s">
        <v>5</v>
      </c>
      <c r="R7" s="218" t="s">
        <v>5</v>
      </c>
      <c r="S7" s="142" t="s">
        <v>5</v>
      </c>
      <c r="T7" s="188" t="s">
        <v>5</v>
      </c>
      <c r="U7" s="62" t="s">
        <v>6</v>
      </c>
      <c r="V7" s="236">
        <v>100</v>
      </c>
      <c r="W7" s="40" t="str">
        <f t="shared" ref="W7:W44" si="0">IF(U7="TY","A",IF(U7="TY/TYs","AB",IF(U7="TYs", "B",IF(U7="TC","C",IF(U7="-","",)))))</f>
        <v>A</v>
      </c>
    </row>
    <row r="8" spans="1:23" ht="15.75" customHeight="1">
      <c r="A8" s="235" t="s">
        <v>49</v>
      </c>
      <c r="B8" s="253">
        <v>1</v>
      </c>
      <c r="C8" s="267" t="s">
        <v>8</v>
      </c>
      <c r="D8" s="254" t="s">
        <v>5</v>
      </c>
      <c r="E8" s="143">
        <v>1.88</v>
      </c>
      <c r="F8" s="133">
        <v>0</v>
      </c>
      <c r="G8" s="134">
        <v>3500</v>
      </c>
      <c r="H8" s="143">
        <f>4.95+E8</f>
        <v>6.83</v>
      </c>
      <c r="I8" s="133">
        <f>G8</f>
        <v>3500</v>
      </c>
      <c r="J8" s="134">
        <f>913.68/0.0188</f>
        <v>48599.999999999993</v>
      </c>
      <c r="K8" s="143">
        <v>4.95</v>
      </c>
      <c r="L8" s="133">
        <f>J8</f>
        <v>48599.999999999993</v>
      </c>
      <c r="M8" s="134">
        <f>(2425.5/0.0495)+3500</f>
        <v>52500</v>
      </c>
      <c r="N8" s="120" t="s">
        <v>5</v>
      </c>
      <c r="O8" s="219" t="s">
        <v>5</v>
      </c>
      <c r="P8" s="180" t="s">
        <v>5</v>
      </c>
      <c r="Q8" s="120" t="s">
        <v>5</v>
      </c>
      <c r="R8" s="219" t="s">
        <v>5</v>
      </c>
      <c r="S8" s="180" t="s">
        <v>5</v>
      </c>
      <c r="T8" s="189">
        <f>(G8-F8)*E8/100 + (J8-I8)*H8/100 + (M8-L8)*K8/100</f>
        <v>3339.18</v>
      </c>
      <c r="U8" s="67" t="s">
        <v>5</v>
      </c>
      <c r="V8" s="237" t="s">
        <v>5</v>
      </c>
      <c r="W8" s="40" t="str">
        <f t="shared" si="0"/>
        <v/>
      </c>
    </row>
    <row r="9" spans="1:23" ht="15.75" customHeight="1">
      <c r="A9" s="235" t="s">
        <v>66</v>
      </c>
      <c r="B9" s="253">
        <v>1</v>
      </c>
      <c r="C9" s="267" t="s">
        <v>7</v>
      </c>
      <c r="D9" s="254" t="s">
        <v>5</v>
      </c>
      <c r="E9" s="143">
        <v>7</v>
      </c>
      <c r="F9" s="133">
        <v>0</v>
      </c>
      <c r="G9" s="134">
        <f>20831180/12</f>
        <v>1735931.6666666667</v>
      </c>
      <c r="H9" s="120" t="s">
        <v>5</v>
      </c>
      <c r="I9" s="219" t="s">
        <v>5</v>
      </c>
      <c r="J9" s="180" t="s">
        <v>5</v>
      </c>
      <c r="K9" s="120" t="s">
        <v>5</v>
      </c>
      <c r="L9" s="219" t="s">
        <v>5</v>
      </c>
      <c r="M9" s="180" t="s">
        <v>5</v>
      </c>
      <c r="N9" s="120" t="s">
        <v>5</v>
      </c>
      <c r="O9" s="219" t="s">
        <v>5</v>
      </c>
      <c r="P9" s="180" t="s">
        <v>5</v>
      </c>
      <c r="Q9" s="120" t="s">
        <v>5</v>
      </c>
      <c r="R9" s="219" t="s">
        <v>5</v>
      </c>
      <c r="S9" s="180" t="s">
        <v>5</v>
      </c>
      <c r="T9" s="189">
        <f>+E9/100*G9</f>
        <v>121515.21666666669</v>
      </c>
      <c r="U9" s="62" t="s">
        <v>5</v>
      </c>
      <c r="V9" s="237" t="s">
        <v>5</v>
      </c>
      <c r="W9" s="40" t="str">
        <f t="shared" si="0"/>
        <v/>
      </c>
    </row>
    <row r="10" spans="1:23" ht="15.75" customHeight="1">
      <c r="A10" s="235" t="s">
        <v>22</v>
      </c>
      <c r="B10" s="253">
        <v>1</v>
      </c>
      <c r="C10" s="266" t="s">
        <v>7</v>
      </c>
      <c r="D10" s="255" t="s">
        <v>5</v>
      </c>
      <c r="E10" s="135">
        <v>4.5</v>
      </c>
      <c r="F10" s="133" t="s">
        <v>5</v>
      </c>
      <c r="G10" s="180" t="s">
        <v>5</v>
      </c>
      <c r="H10" s="120" t="s">
        <v>5</v>
      </c>
      <c r="I10" s="219" t="s">
        <v>5</v>
      </c>
      <c r="J10" s="180" t="s">
        <v>5</v>
      </c>
      <c r="K10" s="120" t="s">
        <v>5</v>
      </c>
      <c r="L10" s="219" t="s">
        <v>5</v>
      </c>
      <c r="M10" s="180" t="s">
        <v>5</v>
      </c>
      <c r="N10" s="120" t="s">
        <v>5</v>
      </c>
      <c r="O10" s="219" t="s">
        <v>5</v>
      </c>
      <c r="P10" s="180" t="s">
        <v>5</v>
      </c>
      <c r="Q10" s="120" t="s">
        <v>5</v>
      </c>
      <c r="R10" s="219" t="s">
        <v>5</v>
      </c>
      <c r="S10" s="180" t="s">
        <v>5</v>
      </c>
      <c r="T10" s="188" t="s">
        <v>5</v>
      </c>
      <c r="U10" s="61" t="s">
        <v>5</v>
      </c>
      <c r="V10" s="238" t="s">
        <v>5</v>
      </c>
      <c r="W10" s="40" t="str">
        <f t="shared" si="0"/>
        <v/>
      </c>
    </row>
    <row r="11" spans="1:23" ht="15.75" customHeight="1">
      <c r="A11" s="235" t="s">
        <v>22</v>
      </c>
      <c r="B11" s="253">
        <v>2</v>
      </c>
      <c r="C11" s="266" t="s">
        <v>7</v>
      </c>
      <c r="D11" s="255" t="s">
        <v>5</v>
      </c>
      <c r="E11" s="135">
        <v>6.5</v>
      </c>
      <c r="F11" s="133">
        <v>0</v>
      </c>
      <c r="G11" s="134">
        <f>1245216/12</f>
        <v>103768</v>
      </c>
      <c r="H11" s="120" t="s">
        <v>5</v>
      </c>
      <c r="I11" s="219" t="s">
        <v>5</v>
      </c>
      <c r="J11" s="180" t="s">
        <v>5</v>
      </c>
      <c r="K11" s="120" t="s">
        <v>5</v>
      </c>
      <c r="L11" s="219" t="s">
        <v>5</v>
      </c>
      <c r="M11" s="180" t="s">
        <v>5</v>
      </c>
      <c r="N11" s="120" t="s">
        <v>5</v>
      </c>
      <c r="O11" s="219" t="s">
        <v>5</v>
      </c>
      <c r="P11" s="180" t="s">
        <v>5</v>
      </c>
      <c r="Q11" s="120" t="s">
        <v>5</v>
      </c>
      <c r="R11" s="219" t="s">
        <v>5</v>
      </c>
      <c r="S11" s="180" t="s">
        <v>5</v>
      </c>
      <c r="T11" s="189">
        <f>G11*(E11/100)</f>
        <v>6744.92</v>
      </c>
      <c r="U11" s="61" t="s">
        <v>5</v>
      </c>
      <c r="V11" s="238" t="s">
        <v>5</v>
      </c>
      <c r="W11" s="40" t="str">
        <f t="shared" si="0"/>
        <v/>
      </c>
    </row>
    <row r="12" spans="1:23" ht="15.75" customHeight="1">
      <c r="A12" s="235" t="s">
        <v>67</v>
      </c>
      <c r="B12" s="253">
        <v>1</v>
      </c>
      <c r="C12" s="267" t="s">
        <v>8</v>
      </c>
      <c r="D12" s="256">
        <v>1080</v>
      </c>
      <c r="E12" s="207" t="s">
        <v>5</v>
      </c>
      <c r="F12" s="219" t="s">
        <v>5</v>
      </c>
      <c r="G12" s="142" t="s">
        <v>5</v>
      </c>
      <c r="H12" s="121" t="s">
        <v>5</v>
      </c>
      <c r="I12" s="218" t="s">
        <v>5</v>
      </c>
      <c r="J12" s="142" t="s">
        <v>5</v>
      </c>
      <c r="K12" s="121" t="s">
        <v>5</v>
      </c>
      <c r="L12" s="218" t="s">
        <v>5</v>
      </c>
      <c r="M12" s="142" t="s">
        <v>5</v>
      </c>
      <c r="N12" s="121" t="s">
        <v>5</v>
      </c>
      <c r="O12" s="218" t="s">
        <v>5</v>
      </c>
      <c r="P12" s="142" t="s">
        <v>5</v>
      </c>
      <c r="Q12" s="121" t="s">
        <v>5</v>
      </c>
      <c r="R12" s="218" t="s">
        <v>5</v>
      </c>
      <c r="S12" s="142" t="s">
        <v>5</v>
      </c>
      <c r="T12" s="188" t="s">
        <v>5</v>
      </c>
      <c r="U12" s="62" t="s">
        <v>6</v>
      </c>
      <c r="V12" s="237">
        <v>100</v>
      </c>
      <c r="W12" s="40" t="str">
        <f t="shared" si="0"/>
        <v>A</v>
      </c>
    </row>
    <row r="13" spans="1:23" ht="15.75" customHeight="1">
      <c r="A13" s="235" t="s">
        <v>58</v>
      </c>
      <c r="B13" s="253">
        <v>1</v>
      </c>
      <c r="C13" s="267" t="s">
        <v>7</v>
      </c>
      <c r="D13" s="254" t="s">
        <v>5</v>
      </c>
      <c r="E13" s="143">
        <f>0.02*100</f>
        <v>2</v>
      </c>
      <c r="F13" s="219" t="s">
        <v>5</v>
      </c>
      <c r="G13" s="142" t="s">
        <v>5</v>
      </c>
      <c r="H13" s="121" t="s">
        <v>5</v>
      </c>
      <c r="I13" s="218" t="s">
        <v>5</v>
      </c>
      <c r="J13" s="142" t="s">
        <v>5</v>
      </c>
      <c r="K13" s="121" t="s">
        <v>5</v>
      </c>
      <c r="L13" s="218" t="s">
        <v>5</v>
      </c>
      <c r="M13" s="142" t="s">
        <v>5</v>
      </c>
      <c r="N13" s="121" t="s">
        <v>5</v>
      </c>
      <c r="O13" s="218" t="s">
        <v>5</v>
      </c>
      <c r="P13" s="142" t="s">
        <v>5</v>
      </c>
      <c r="Q13" s="121" t="s">
        <v>5</v>
      </c>
      <c r="R13" s="218" t="s">
        <v>5</v>
      </c>
      <c r="S13" s="142" t="s">
        <v>5</v>
      </c>
      <c r="T13" s="188" t="s">
        <v>5</v>
      </c>
      <c r="U13" s="62" t="s">
        <v>6</v>
      </c>
      <c r="V13" s="236">
        <v>100</v>
      </c>
      <c r="W13" s="40" t="str">
        <f t="shared" si="0"/>
        <v>A</v>
      </c>
    </row>
    <row r="14" spans="1:23" ht="15.75" customHeight="1">
      <c r="A14" s="235" t="s">
        <v>56</v>
      </c>
      <c r="B14" s="253">
        <v>1</v>
      </c>
      <c r="C14" s="267" t="s">
        <v>10</v>
      </c>
      <c r="D14" s="257" t="s">
        <v>5</v>
      </c>
      <c r="E14" s="143">
        <v>1.32</v>
      </c>
      <c r="F14" s="219" t="s">
        <v>5</v>
      </c>
      <c r="G14" s="140" t="s">
        <v>5</v>
      </c>
      <c r="H14" s="121" t="s">
        <v>5</v>
      </c>
      <c r="I14" s="218" t="s">
        <v>5</v>
      </c>
      <c r="J14" s="142" t="s">
        <v>5</v>
      </c>
      <c r="K14" s="121" t="s">
        <v>5</v>
      </c>
      <c r="L14" s="218" t="s">
        <v>5</v>
      </c>
      <c r="M14" s="142" t="s">
        <v>5</v>
      </c>
      <c r="N14" s="121" t="s">
        <v>5</v>
      </c>
      <c r="O14" s="218" t="s">
        <v>5</v>
      </c>
      <c r="P14" s="142" t="s">
        <v>5</v>
      </c>
      <c r="Q14" s="121" t="s">
        <v>5</v>
      </c>
      <c r="R14" s="218" t="s">
        <v>5</v>
      </c>
      <c r="S14" s="142" t="s">
        <v>5</v>
      </c>
      <c r="T14" s="189" t="s">
        <v>5</v>
      </c>
      <c r="U14" s="62" t="s">
        <v>5</v>
      </c>
      <c r="V14" s="236" t="s">
        <v>5</v>
      </c>
      <c r="W14" s="40" t="str">
        <f t="shared" si="0"/>
        <v/>
      </c>
    </row>
    <row r="15" spans="1:23" ht="15.75" customHeight="1">
      <c r="A15" s="235" t="s">
        <v>56</v>
      </c>
      <c r="B15" s="253">
        <v>2</v>
      </c>
      <c r="C15" s="267" t="s">
        <v>8</v>
      </c>
      <c r="D15" s="257" t="s">
        <v>5</v>
      </c>
      <c r="E15" s="143">
        <v>6.89</v>
      </c>
      <c r="F15" s="219" t="s">
        <v>5</v>
      </c>
      <c r="G15" s="140" t="s">
        <v>5</v>
      </c>
      <c r="H15" s="121" t="s">
        <v>5</v>
      </c>
      <c r="I15" s="218" t="s">
        <v>5</v>
      </c>
      <c r="J15" s="142" t="s">
        <v>5</v>
      </c>
      <c r="K15" s="121" t="s">
        <v>5</v>
      </c>
      <c r="L15" s="218" t="s">
        <v>5</v>
      </c>
      <c r="M15" s="142" t="s">
        <v>5</v>
      </c>
      <c r="N15" s="121" t="s">
        <v>5</v>
      </c>
      <c r="O15" s="218" t="s">
        <v>5</v>
      </c>
      <c r="P15" s="142" t="s">
        <v>5</v>
      </c>
      <c r="Q15" s="121" t="s">
        <v>5</v>
      </c>
      <c r="R15" s="218" t="s">
        <v>5</v>
      </c>
      <c r="S15" s="142" t="s">
        <v>5</v>
      </c>
      <c r="T15" s="189" t="s">
        <v>5</v>
      </c>
      <c r="U15" s="62" t="s">
        <v>6</v>
      </c>
      <c r="V15" s="236">
        <v>100</v>
      </c>
      <c r="W15" s="40" t="str">
        <f t="shared" si="0"/>
        <v>A</v>
      </c>
    </row>
    <row r="16" spans="1:23" ht="15.75" customHeight="1">
      <c r="A16" s="235" t="s">
        <v>48</v>
      </c>
      <c r="B16" s="253">
        <v>1</v>
      </c>
      <c r="C16" s="267" t="s">
        <v>8</v>
      </c>
      <c r="D16" s="254" t="s">
        <v>5</v>
      </c>
      <c r="E16" s="143">
        <f>(0.068+0.0075+0.024+0.0385+0.0025)*100</f>
        <v>14.05</v>
      </c>
      <c r="F16" s="133">
        <v>0</v>
      </c>
      <c r="G16" s="134">
        <v>37548</v>
      </c>
      <c r="H16" s="143">
        <f>(0.0075+0.024+0.0895+0.0025)*100</f>
        <v>12.35</v>
      </c>
      <c r="I16" s="133">
        <f>G16</f>
        <v>37548</v>
      </c>
      <c r="J16" s="134">
        <f>3*G16</f>
        <v>112644</v>
      </c>
      <c r="K16" s="143">
        <f>(0.0075+0.024+0.0025)*100</f>
        <v>3.4000000000000004</v>
      </c>
      <c r="L16" s="133">
        <f>J16</f>
        <v>112644</v>
      </c>
      <c r="M16" s="134">
        <f>4*G16</f>
        <v>150192</v>
      </c>
      <c r="N16" s="143">
        <f>(0.0075+0.0025)*100</f>
        <v>1</v>
      </c>
      <c r="O16" s="133">
        <f>M16</f>
        <v>150192</v>
      </c>
      <c r="P16" s="180" t="s">
        <v>5</v>
      </c>
      <c r="Q16" s="120" t="s">
        <v>5</v>
      </c>
      <c r="R16" s="219" t="s">
        <v>5</v>
      </c>
      <c r="S16" s="180" t="s">
        <v>5</v>
      </c>
      <c r="T16" s="188" t="s">
        <v>5</v>
      </c>
      <c r="U16" s="62" t="s">
        <v>6</v>
      </c>
      <c r="V16" s="236">
        <v>100</v>
      </c>
      <c r="W16" s="40" t="str">
        <f t="shared" si="0"/>
        <v>A</v>
      </c>
    </row>
    <row r="17" spans="1:23" ht="15.75" customHeight="1">
      <c r="A17" s="235" t="s">
        <v>54</v>
      </c>
      <c r="B17" s="253">
        <v>1</v>
      </c>
      <c r="C17" s="267" t="s">
        <v>8</v>
      </c>
      <c r="D17" s="254" t="s">
        <v>5</v>
      </c>
      <c r="E17" s="143">
        <f>9.45+8.2+1.5+1.025</f>
        <v>20.174999999999997</v>
      </c>
      <c r="F17" s="133">
        <v>0</v>
      </c>
      <c r="G17" s="134">
        <v>48600</v>
      </c>
      <c r="H17" s="143">
        <f>9.45+1.5</f>
        <v>10.95</v>
      </c>
      <c r="I17" s="133">
        <f>G17</f>
        <v>48600</v>
      </c>
      <c r="J17" s="134">
        <v>71400</v>
      </c>
      <c r="K17" s="120" t="s">
        <v>5</v>
      </c>
      <c r="L17" s="219" t="s">
        <v>5</v>
      </c>
      <c r="M17" s="180" t="s">
        <v>5</v>
      </c>
      <c r="N17" s="120" t="s">
        <v>5</v>
      </c>
      <c r="O17" s="219" t="s">
        <v>5</v>
      </c>
      <c r="P17" s="180" t="s">
        <v>5</v>
      </c>
      <c r="Q17" s="120" t="s">
        <v>5</v>
      </c>
      <c r="R17" s="219" t="s">
        <v>5</v>
      </c>
      <c r="S17" s="180" t="s">
        <v>5</v>
      </c>
      <c r="T17" s="189">
        <f>(G17-F17)*E17/100 + (J17-I17)*H17/100</f>
        <v>12301.65</v>
      </c>
      <c r="U17" s="62" t="s">
        <v>6</v>
      </c>
      <c r="V17" s="237" t="s">
        <v>218</v>
      </c>
      <c r="W17" s="40" t="str">
        <f t="shared" si="0"/>
        <v>A</v>
      </c>
    </row>
    <row r="18" spans="1:23" ht="15.75" customHeight="1">
      <c r="A18" s="235" t="s">
        <v>53</v>
      </c>
      <c r="B18" s="253">
        <v>1</v>
      </c>
      <c r="C18" s="267" t="s">
        <v>7</v>
      </c>
      <c r="D18" s="257" t="s">
        <v>5</v>
      </c>
      <c r="E18" s="143">
        <v>16</v>
      </c>
      <c r="F18" s="133">
        <v>0</v>
      </c>
      <c r="G18" s="134">
        <f>77655.2/14</f>
        <v>5546.8</v>
      </c>
      <c r="H18" s="120" t="s">
        <v>5</v>
      </c>
      <c r="I18" s="219" t="s">
        <v>5</v>
      </c>
      <c r="J18" s="180" t="s">
        <v>5</v>
      </c>
      <c r="K18" s="120" t="s">
        <v>5</v>
      </c>
      <c r="L18" s="219" t="s">
        <v>5</v>
      </c>
      <c r="M18" s="180" t="s">
        <v>5</v>
      </c>
      <c r="N18" s="120" t="s">
        <v>5</v>
      </c>
      <c r="O18" s="219" t="s">
        <v>5</v>
      </c>
      <c r="P18" s="180" t="s">
        <v>5</v>
      </c>
      <c r="Q18" s="120" t="s">
        <v>5</v>
      </c>
      <c r="R18" s="219" t="s">
        <v>5</v>
      </c>
      <c r="S18" s="180" t="s">
        <v>5</v>
      </c>
      <c r="T18" s="189">
        <f>G18*E18/100</f>
        <v>887.48800000000006</v>
      </c>
      <c r="U18" s="62" t="s">
        <v>6</v>
      </c>
      <c r="V18" s="236">
        <v>100</v>
      </c>
      <c r="W18" s="40" t="str">
        <f t="shared" si="0"/>
        <v>A</v>
      </c>
    </row>
    <row r="19" spans="1:23" ht="15.75" customHeight="1">
      <c r="A19" s="235" t="s">
        <v>23</v>
      </c>
      <c r="B19" s="253">
        <v>1</v>
      </c>
      <c r="C19" s="267" t="s">
        <v>8</v>
      </c>
      <c r="D19" s="254" t="s">
        <v>5</v>
      </c>
      <c r="E19" s="143">
        <f>7+1.5+10</f>
        <v>18.5</v>
      </c>
      <c r="F19" s="219" t="s">
        <v>5</v>
      </c>
      <c r="G19" s="134" t="s">
        <v>5</v>
      </c>
      <c r="H19" s="120" t="s">
        <v>5</v>
      </c>
      <c r="I19" s="219" t="s">
        <v>5</v>
      </c>
      <c r="J19" s="180" t="s">
        <v>5</v>
      </c>
      <c r="K19" s="120" t="s">
        <v>5</v>
      </c>
      <c r="L19" s="219" t="s">
        <v>5</v>
      </c>
      <c r="M19" s="180" t="s">
        <v>5</v>
      </c>
      <c r="N19" s="120" t="s">
        <v>5</v>
      </c>
      <c r="O19" s="219" t="s">
        <v>5</v>
      </c>
      <c r="P19" s="180" t="s">
        <v>5</v>
      </c>
      <c r="Q19" s="120" t="s">
        <v>5</v>
      </c>
      <c r="R19" s="219" t="s">
        <v>5</v>
      </c>
      <c r="S19" s="180" t="s">
        <v>5</v>
      </c>
      <c r="T19" s="188" t="s">
        <v>5</v>
      </c>
      <c r="U19" s="239" t="s">
        <v>5</v>
      </c>
      <c r="V19" s="237" t="s">
        <v>5</v>
      </c>
      <c r="W19" s="40" t="str">
        <f t="shared" si="0"/>
        <v/>
      </c>
    </row>
    <row r="20" spans="1:23" ht="15.75" customHeight="1">
      <c r="A20" s="235" t="s">
        <v>68</v>
      </c>
      <c r="B20" s="253">
        <v>1</v>
      </c>
      <c r="C20" s="266" t="s">
        <v>6</v>
      </c>
      <c r="D20" s="256">
        <f>10159+17800</f>
        <v>27959</v>
      </c>
      <c r="E20" s="143" t="s">
        <v>24</v>
      </c>
      <c r="F20" s="133">
        <v>1624601</v>
      </c>
      <c r="G20" s="134" t="s">
        <v>24</v>
      </c>
      <c r="H20" s="120" t="s">
        <v>5</v>
      </c>
      <c r="I20" s="219" t="s">
        <v>5</v>
      </c>
      <c r="J20" s="180" t="s">
        <v>5</v>
      </c>
      <c r="K20" s="120" t="s">
        <v>5</v>
      </c>
      <c r="L20" s="219" t="s">
        <v>5</v>
      </c>
      <c r="M20" s="180" t="s">
        <v>5</v>
      </c>
      <c r="N20" s="120" t="s">
        <v>5</v>
      </c>
      <c r="O20" s="219" t="s">
        <v>5</v>
      </c>
      <c r="P20" s="180" t="s">
        <v>5</v>
      </c>
      <c r="Q20" s="120" t="s">
        <v>5</v>
      </c>
      <c r="R20" s="219" t="s">
        <v>5</v>
      </c>
      <c r="S20" s="180" t="s">
        <v>5</v>
      </c>
      <c r="T20" s="189" t="s">
        <v>24</v>
      </c>
      <c r="U20" s="67" t="s">
        <v>5</v>
      </c>
      <c r="V20" s="237" t="s">
        <v>5</v>
      </c>
      <c r="W20" s="40" t="str">
        <f t="shared" si="0"/>
        <v/>
      </c>
    </row>
    <row r="21" spans="1:23" ht="15.75" customHeight="1">
      <c r="A21" s="235" t="s">
        <v>68</v>
      </c>
      <c r="B21" s="253">
        <v>2</v>
      </c>
      <c r="C21" s="266" t="s">
        <v>8</v>
      </c>
      <c r="D21" s="258" t="s">
        <v>5</v>
      </c>
      <c r="E21" s="143">
        <f>(0.04+0.04)*100</f>
        <v>8</v>
      </c>
      <c r="F21" s="133" t="s">
        <v>5</v>
      </c>
      <c r="G21" s="134" t="s">
        <v>5</v>
      </c>
      <c r="H21" s="120" t="s">
        <v>5</v>
      </c>
      <c r="I21" s="219" t="s">
        <v>5</v>
      </c>
      <c r="J21" s="180" t="s">
        <v>5</v>
      </c>
      <c r="K21" s="120" t="s">
        <v>5</v>
      </c>
      <c r="L21" s="219" t="s">
        <v>5</v>
      </c>
      <c r="M21" s="180" t="s">
        <v>5</v>
      </c>
      <c r="N21" s="120" t="s">
        <v>5</v>
      </c>
      <c r="O21" s="219" t="s">
        <v>5</v>
      </c>
      <c r="P21" s="180" t="s">
        <v>5</v>
      </c>
      <c r="Q21" s="120" t="s">
        <v>5</v>
      </c>
      <c r="R21" s="219" t="s">
        <v>5</v>
      </c>
      <c r="S21" s="180" t="s">
        <v>5</v>
      </c>
      <c r="T21" s="188" t="s">
        <v>5</v>
      </c>
      <c r="U21" s="62" t="s">
        <v>6</v>
      </c>
      <c r="V21" s="236">
        <v>100</v>
      </c>
      <c r="W21" s="40" t="str">
        <f t="shared" si="0"/>
        <v>A</v>
      </c>
    </row>
    <row r="22" spans="1:23" ht="15.75" customHeight="1">
      <c r="A22" s="235" t="s">
        <v>92</v>
      </c>
      <c r="B22" s="253">
        <v>1</v>
      </c>
      <c r="C22" s="267" t="s">
        <v>8</v>
      </c>
      <c r="D22" s="258" t="s">
        <v>5</v>
      </c>
      <c r="E22" s="143">
        <v>4</v>
      </c>
      <c r="F22" s="220" t="s">
        <v>77</v>
      </c>
      <c r="G22" s="142" t="s">
        <v>5</v>
      </c>
      <c r="H22" s="121" t="s">
        <v>5</v>
      </c>
      <c r="I22" s="218" t="s">
        <v>5</v>
      </c>
      <c r="J22" s="142" t="s">
        <v>5</v>
      </c>
      <c r="K22" s="121" t="s">
        <v>5</v>
      </c>
      <c r="L22" s="218" t="s">
        <v>5</v>
      </c>
      <c r="M22" s="142" t="s">
        <v>5</v>
      </c>
      <c r="N22" s="121" t="s">
        <v>5</v>
      </c>
      <c r="O22" s="218" t="s">
        <v>5</v>
      </c>
      <c r="P22" s="142" t="s">
        <v>5</v>
      </c>
      <c r="Q22" s="121" t="s">
        <v>5</v>
      </c>
      <c r="R22" s="218" t="s">
        <v>5</v>
      </c>
      <c r="S22" s="142" t="s">
        <v>5</v>
      </c>
      <c r="T22" s="188" t="s">
        <v>5</v>
      </c>
      <c r="U22" s="35" t="s">
        <v>5</v>
      </c>
      <c r="V22" s="240" t="s">
        <v>5</v>
      </c>
      <c r="W22" s="40" t="str">
        <f t="shared" si="0"/>
        <v/>
      </c>
    </row>
    <row r="23" spans="1:23" ht="15.75" customHeight="1">
      <c r="A23" s="235" t="s">
        <v>69</v>
      </c>
      <c r="B23" s="253">
        <v>1</v>
      </c>
      <c r="C23" s="267" t="s">
        <v>7</v>
      </c>
      <c r="D23" s="254" t="s">
        <v>5</v>
      </c>
      <c r="E23" s="143">
        <v>3.5</v>
      </c>
      <c r="F23" s="133">
        <v>0</v>
      </c>
      <c r="G23" s="140">
        <f>65436/12</f>
        <v>5453</v>
      </c>
      <c r="H23" s="143">
        <v>12</v>
      </c>
      <c r="I23" s="139">
        <f>G23</f>
        <v>5453</v>
      </c>
      <c r="J23" s="140">
        <f>518880/12</f>
        <v>43240</v>
      </c>
      <c r="K23" s="121" t="s">
        <v>5</v>
      </c>
      <c r="L23" s="218" t="s">
        <v>5</v>
      </c>
      <c r="M23" s="142" t="s">
        <v>5</v>
      </c>
      <c r="N23" s="121" t="s">
        <v>5</v>
      </c>
      <c r="O23" s="218" t="s">
        <v>5</v>
      </c>
      <c r="P23" s="142" t="s">
        <v>5</v>
      </c>
      <c r="Q23" s="121" t="s">
        <v>5</v>
      </c>
      <c r="R23" s="218" t="s">
        <v>5</v>
      </c>
      <c r="S23" s="142" t="s">
        <v>5</v>
      </c>
      <c r="T23" s="189">
        <f>+E23/100*G23+H23/100*(J23-I23)</f>
        <v>4725.2950000000001</v>
      </c>
      <c r="U23" s="67" t="s">
        <v>5</v>
      </c>
      <c r="V23" s="237" t="s">
        <v>5</v>
      </c>
      <c r="W23" s="40" t="str">
        <f t="shared" si="0"/>
        <v/>
      </c>
    </row>
    <row r="24" spans="1:23" ht="15.75" customHeight="1">
      <c r="A24" s="235" t="s">
        <v>13</v>
      </c>
      <c r="B24" s="253">
        <v>1</v>
      </c>
      <c r="C24" s="267" t="s">
        <v>8</v>
      </c>
      <c r="D24" s="254" t="s">
        <v>5</v>
      </c>
      <c r="E24" s="143">
        <v>9.49</v>
      </c>
      <c r="F24" s="133">
        <v>0</v>
      </c>
      <c r="G24" s="140">
        <v>46031</v>
      </c>
      <c r="H24" s="143">
        <v>10.49</v>
      </c>
      <c r="I24" s="139">
        <f>G24</f>
        <v>46031</v>
      </c>
      <c r="J24" s="140">
        <v>100123</v>
      </c>
      <c r="K24" s="121" t="s">
        <v>5</v>
      </c>
      <c r="L24" s="218" t="s">
        <v>5</v>
      </c>
      <c r="M24" s="142" t="s">
        <v>5</v>
      </c>
      <c r="N24" s="121" t="s">
        <v>5</v>
      </c>
      <c r="O24" s="218" t="s">
        <v>5</v>
      </c>
      <c r="P24" s="142" t="s">
        <v>5</v>
      </c>
      <c r="Q24" s="121" t="s">
        <v>5</v>
      </c>
      <c r="R24" s="218" t="s">
        <v>5</v>
      </c>
      <c r="S24" s="142" t="s">
        <v>5</v>
      </c>
      <c r="T24" s="189">
        <f>((E24/100)*G24)+(H24/100)*(J24-I24)</f>
        <v>10042.592700000001</v>
      </c>
      <c r="U24" s="241" t="s">
        <v>6</v>
      </c>
      <c r="V24" s="237">
        <v>100</v>
      </c>
      <c r="W24" s="40" t="str">
        <f t="shared" si="0"/>
        <v>A</v>
      </c>
    </row>
    <row r="25" spans="1:23" ht="15.75" customHeight="1">
      <c r="A25" s="235" t="s">
        <v>14</v>
      </c>
      <c r="B25" s="253">
        <v>1</v>
      </c>
      <c r="C25" s="267" t="s">
        <v>7</v>
      </c>
      <c r="D25" s="257" t="s">
        <v>5</v>
      </c>
      <c r="E25" s="143">
        <f>(0.08619+0.05+0.005)*100</f>
        <v>14.119000000000002</v>
      </c>
      <c r="F25" s="133">
        <v>0</v>
      </c>
      <c r="G25" s="140">
        <f>7440000/12</f>
        <v>620000</v>
      </c>
      <c r="H25" s="143">
        <f>(0.05+0.005)*100</f>
        <v>5.5</v>
      </c>
      <c r="I25" s="139">
        <f>G25</f>
        <v>620000</v>
      </c>
      <c r="J25" s="140">
        <f>14520000/12</f>
        <v>1210000</v>
      </c>
      <c r="K25" s="143">
        <f>0.005*100</f>
        <v>0.5</v>
      </c>
      <c r="L25" s="139">
        <f>J25</f>
        <v>1210000</v>
      </c>
      <c r="M25" s="180" t="s">
        <v>5</v>
      </c>
      <c r="N25" s="121" t="s">
        <v>5</v>
      </c>
      <c r="O25" s="218" t="s">
        <v>5</v>
      </c>
      <c r="P25" s="142" t="s">
        <v>5</v>
      </c>
      <c r="Q25" s="121" t="s">
        <v>5</v>
      </c>
      <c r="R25" s="218" t="s">
        <v>5</v>
      </c>
      <c r="S25" s="142" t="s">
        <v>5</v>
      </c>
      <c r="T25" s="189" t="s">
        <v>5</v>
      </c>
      <c r="U25" s="62" t="s">
        <v>6</v>
      </c>
      <c r="V25" s="236">
        <v>100</v>
      </c>
      <c r="W25" s="40" t="str">
        <f t="shared" si="0"/>
        <v>A</v>
      </c>
    </row>
    <row r="26" spans="1:23" ht="15.75" customHeight="1">
      <c r="A26" s="235" t="s">
        <v>15</v>
      </c>
      <c r="B26" s="253">
        <v>1</v>
      </c>
      <c r="C26" s="266" t="s">
        <v>7</v>
      </c>
      <c r="D26" s="254" t="s">
        <v>5</v>
      </c>
      <c r="E26" s="143">
        <f>(0.045*100)+H26</f>
        <v>8.3410000000000011</v>
      </c>
      <c r="F26" s="133">
        <v>0</v>
      </c>
      <c r="G26" s="140">
        <f>(2203200/0.045)/12</f>
        <v>4080000</v>
      </c>
      <c r="H26" s="143">
        <f>(0.03191*100)+K26</f>
        <v>3.8410000000000002</v>
      </c>
      <c r="I26" s="133">
        <f>G26</f>
        <v>4080000</v>
      </c>
      <c r="J26" s="140">
        <f>(29906052/0.03191)/12</f>
        <v>78100000</v>
      </c>
      <c r="K26" s="208">
        <f>0.0065*100</f>
        <v>0.65</v>
      </c>
      <c r="L26" s="133">
        <f>J26</f>
        <v>78100000</v>
      </c>
      <c r="M26" s="142" t="s">
        <v>5</v>
      </c>
      <c r="N26" s="121" t="s">
        <v>5</v>
      </c>
      <c r="O26" s="218" t="s">
        <v>5</v>
      </c>
      <c r="P26" s="142" t="s">
        <v>5</v>
      </c>
      <c r="Q26" s="121" t="s">
        <v>5</v>
      </c>
      <c r="R26" s="218" t="s">
        <v>5</v>
      </c>
      <c r="S26" s="142" t="s">
        <v>5</v>
      </c>
      <c r="T26" s="188" t="s">
        <v>5</v>
      </c>
      <c r="U26" s="62" t="s">
        <v>6</v>
      </c>
      <c r="V26" s="236">
        <v>100</v>
      </c>
      <c r="W26" s="40" t="str">
        <f t="shared" si="0"/>
        <v>A</v>
      </c>
    </row>
    <row r="27" spans="1:23">
      <c r="A27" s="513" t="s">
        <v>282</v>
      </c>
      <c r="B27" s="500">
        <v>1</v>
      </c>
      <c r="C27" s="30" t="s">
        <v>8</v>
      </c>
      <c r="D27" s="502" t="s">
        <v>5</v>
      </c>
      <c r="E27" s="503">
        <v>10.5</v>
      </c>
      <c r="F27" s="400">
        <v>0</v>
      </c>
      <c r="G27" s="396">
        <v>46400</v>
      </c>
      <c r="H27" s="501"/>
      <c r="I27" s="504"/>
      <c r="J27" s="505"/>
      <c r="K27" s="501"/>
      <c r="L27" s="504"/>
      <c r="M27" s="505"/>
      <c r="N27" s="506"/>
      <c r="O27" s="504"/>
      <c r="P27" s="505"/>
      <c r="Q27" s="506"/>
      <c r="R27" s="504"/>
      <c r="S27" s="505"/>
      <c r="T27" s="507">
        <f>(E27/100)*G27</f>
        <v>4872</v>
      </c>
      <c r="U27" s="62" t="s">
        <v>6</v>
      </c>
      <c r="V27" s="375">
        <v>100</v>
      </c>
      <c r="W27" s="30" t="str">
        <f t="shared" si="0"/>
        <v>A</v>
      </c>
    </row>
    <row r="28" spans="1:23" ht="15.75" customHeight="1">
      <c r="A28" s="235" t="s">
        <v>70</v>
      </c>
      <c r="B28" s="253">
        <v>1</v>
      </c>
      <c r="C28" s="267" t="s">
        <v>8</v>
      </c>
      <c r="D28" s="254" t="s">
        <v>5</v>
      </c>
      <c r="E28" s="143">
        <f>0.1105*100</f>
        <v>11.05</v>
      </c>
      <c r="F28" s="133">
        <v>0</v>
      </c>
      <c r="G28" s="134">
        <v>115261.8</v>
      </c>
      <c r="H28" s="120" t="s">
        <v>5</v>
      </c>
      <c r="I28" s="219" t="s">
        <v>5</v>
      </c>
      <c r="J28" s="180" t="s">
        <v>5</v>
      </c>
      <c r="K28" s="120" t="s">
        <v>5</v>
      </c>
      <c r="L28" s="219" t="s">
        <v>5</v>
      </c>
      <c r="M28" s="180" t="s">
        <v>5</v>
      </c>
      <c r="N28" s="120" t="s">
        <v>5</v>
      </c>
      <c r="O28" s="219" t="s">
        <v>5</v>
      </c>
      <c r="P28" s="180" t="s">
        <v>5</v>
      </c>
      <c r="Q28" s="120" t="s">
        <v>5</v>
      </c>
      <c r="R28" s="219" t="s">
        <v>5</v>
      </c>
      <c r="S28" s="180" t="s">
        <v>5</v>
      </c>
      <c r="T28" s="189">
        <f>+G28*E28/100</f>
        <v>12736.428900000001</v>
      </c>
      <c r="U28" s="61" t="s">
        <v>6</v>
      </c>
      <c r="V28" s="238">
        <v>100</v>
      </c>
      <c r="W28" s="40" t="str">
        <f t="shared" si="0"/>
        <v>A</v>
      </c>
    </row>
    <row r="29" spans="1:23" ht="15.75" customHeight="1">
      <c r="A29" s="235" t="s">
        <v>70</v>
      </c>
      <c r="B29" s="253">
        <v>2</v>
      </c>
      <c r="C29" s="267" t="s">
        <v>8</v>
      </c>
      <c r="D29" s="255" t="s">
        <v>5</v>
      </c>
      <c r="E29" s="143">
        <f>0.014*100</f>
        <v>1.4000000000000001</v>
      </c>
      <c r="F29" s="133">
        <f>0.25*23052.36</f>
        <v>5763.09</v>
      </c>
      <c r="G29" s="134" t="s">
        <v>29</v>
      </c>
      <c r="H29" s="120" t="s">
        <v>5</v>
      </c>
      <c r="I29" s="219" t="s">
        <v>5</v>
      </c>
      <c r="J29" s="180" t="s">
        <v>5</v>
      </c>
      <c r="K29" s="120" t="s">
        <v>5</v>
      </c>
      <c r="L29" s="219" t="s">
        <v>5</v>
      </c>
      <c r="M29" s="180" t="s">
        <v>5</v>
      </c>
      <c r="N29" s="120" t="s">
        <v>5</v>
      </c>
      <c r="O29" s="219" t="s">
        <v>5</v>
      </c>
      <c r="P29" s="180" t="s">
        <v>5</v>
      </c>
      <c r="Q29" s="120" t="s">
        <v>5</v>
      </c>
      <c r="R29" s="219" t="s">
        <v>5</v>
      </c>
      <c r="S29" s="180" t="s">
        <v>5</v>
      </c>
      <c r="T29" s="189" t="s">
        <v>5</v>
      </c>
      <c r="U29" s="66" t="s">
        <v>5</v>
      </c>
      <c r="V29" s="242" t="s">
        <v>5</v>
      </c>
      <c r="W29" s="40" t="str">
        <f t="shared" si="0"/>
        <v/>
      </c>
    </row>
    <row r="30" spans="1:23" ht="15.75" customHeight="1">
      <c r="A30" s="235" t="s">
        <v>71</v>
      </c>
      <c r="B30" s="253">
        <v>1</v>
      </c>
      <c r="C30" s="267" t="s">
        <v>7</v>
      </c>
      <c r="D30" s="257" t="s">
        <v>5</v>
      </c>
      <c r="E30" s="143">
        <f>0.0125*100</f>
        <v>1.25</v>
      </c>
      <c r="F30" s="133">
        <v>0</v>
      </c>
      <c r="G30" s="221">
        <f>3*67.29*(365/12)</f>
        <v>6140.2125000000005</v>
      </c>
      <c r="H30" s="143">
        <f>E30+(0.004*100)</f>
        <v>1.65</v>
      </c>
      <c r="I30" s="220">
        <f>G30</f>
        <v>6140.2125000000005</v>
      </c>
      <c r="J30" s="221">
        <f>25*67.29*(365/12)</f>
        <v>51168.437500000007</v>
      </c>
      <c r="K30" s="174" t="s">
        <v>5</v>
      </c>
      <c r="L30" s="475" t="s">
        <v>5</v>
      </c>
      <c r="M30" s="226" t="s">
        <v>5</v>
      </c>
      <c r="N30" s="174" t="s">
        <v>5</v>
      </c>
      <c r="O30" s="475" t="s">
        <v>5</v>
      </c>
      <c r="P30" s="226" t="s">
        <v>5</v>
      </c>
      <c r="Q30" s="174" t="s">
        <v>5</v>
      </c>
      <c r="R30" s="475" t="s">
        <v>5</v>
      </c>
      <c r="S30" s="226" t="s">
        <v>5</v>
      </c>
      <c r="T30" s="189">
        <f>((E30/100)*G30)+(H30/100)*(J30-I30)</f>
        <v>819.71836875000008</v>
      </c>
      <c r="U30" s="243" t="s">
        <v>5</v>
      </c>
      <c r="V30" s="237" t="s">
        <v>5</v>
      </c>
      <c r="W30" s="40" t="str">
        <f t="shared" si="0"/>
        <v/>
      </c>
    </row>
    <row r="31" spans="1:23" ht="15.75" customHeight="1">
      <c r="A31" s="235" t="s">
        <v>60</v>
      </c>
      <c r="B31" s="253">
        <v>1</v>
      </c>
      <c r="C31" s="266" t="s">
        <v>6</v>
      </c>
      <c r="D31" s="259" t="s">
        <v>5</v>
      </c>
      <c r="E31" s="135">
        <f>(0.179+0.006+0.1265)*100</f>
        <v>31.15</v>
      </c>
      <c r="F31" s="133">
        <v>0</v>
      </c>
      <c r="G31" s="134">
        <v>33363</v>
      </c>
      <c r="H31" s="120" t="s">
        <v>5</v>
      </c>
      <c r="I31" s="219" t="s">
        <v>5</v>
      </c>
      <c r="J31" s="180" t="s">
        <v>5</v>
      </c>
      <c r="K31" s="120" t="s">
        <v>5</v>
      </c>
      <c r="L31" s="219" t="s">
        <v>5</v>
      </c>
      <c r="M31" s="180" t="s">
        <v>5</v>
      </c>
      <c r="N31" s="120" t="s">
        <v>5</v>
      </c>
      <c r="O31" s="219" t="s">
        <v>5</v>
      </c>
      <c r="P31" s="180" t="s">
        <v>5</v>
      </c>
      <c r="Q31" s="120" t="s">
        <v>5</v>
      </c>
      <c r="R31" s="219" t="s">
        <v>5</v>
      </c>
      <c r="S31" s="180" t="s">
        <v>5</v>
      </c>
      <c r="T31" s="189">
        <f>(G31-F31)*E31/100</f>
        <v>10392.574499999999</v>
      </c>
      <c r="U31" s="61" t="s">
        <v>6</v>
      </c>
      <c r="V31" s="238">
        <v>100</v>
      </c>
      <c r="W31" s="40" t="str">
        <f t="shared" si="0"/>
        <v>A</v>
      </c>
    </row>
    <row r="32" spans="1:23" ht="15.75" customHeight="1">
      <c r="A32" s="244" t="s">
        <v>42</v>
      </c>
      <c r="B32" s="260">
        <v>0</v>
      </c>
      <c r="C32" s="268" t="s">
        <v>250</v>
      </c>
      <c r="D32" s="261" t="s">
        <v>5</v>
      </c>
      <c r="E32" s="141" t="s">
        <v>5</v>
      </c>
      <c r="F32" s="222" t="s">
        <v>5</v>
      </c>
      <c r="G32" s="223" t="s">
        <v>5</v>
      </c>
      <c r="H32" s="120" t="s">
        <v>5</v>
      </c>
      <c r="I32" s="219" t="s">
        <v>5</v>
      </c>
      <c r="J32" s="180" t="s">
        <v>5</v>
      </c>
      <c r="K32" s="120" t="s">
        <v>5</v>
      </c>
      <c r="L32" s="219" t="s">
        <v>5</v>
      </c>
      <c r="M32" s="180" t="s">
        <v>5</v>
      </c>
      <c r="N32" s="120" t="s">
        <v>5</v>
      </c>
      <c r="O32" s="219" t="s">
        <v>5</v>
      </c>
      <c r="P32" s="180" t="s">
        <v>5</v>
      </c>
      <c r="Q32" s="120" t="s">
        <v>5</v>
      </c>
      <c r="R32" s="219" t="s">
        <v>5</v>
      </c>
      <c r="S32" s="180" t="s">
        <v>5</v>
      </c>
      <c r="T32" s="190" t="s">
        <v>5</v>
      </c>
      <c r="U32" s="111" t="s">
        <v>5</v>
      </c>
      <c r="V32" s="245" t="s">
        <v>5</v>
      </c>
      <c r="W32" s="40" t="str">
        <f t="shared" si="0"/>
        <v/>
      </c>
    </row>
    <row r="33" spans="1:23" ht="15.75" customHeight="1">
      <c r="A33" s="235" t="s">
        <v>64</v>
      </c>
      <c r="B33" s="253">
        <v>1</v>
      </c>
      <c r="C33" s="267" t="s">
        <v>8</v>
      </c>
      <c r="D33" s="254" t="s">
        <v>5</v>
      </c>
      <c r="E33" s="143">
        <f>0.082*100</f>
        <v>8.2000000000000011</v>
      </c>
      <c r="F33" s="133" t="s">
        <v>65</v>
      </c>
      <c r="G33" s="134" t="s">
        <v>5</v>
      </c>
      <c r="H33" s="120" t="s">
        <v>5</v>
      </c>
      <c r="I33" s="219" t="s">
        <v>5</v>
      </c>
      <c r="J33" s="180" t="s">
        <v>5</v>
      </c>
      <c r="K33" s="120" t="s">
        <v>5</v>
      </c>
      <c r="L33" s="219" t="s">
        <v>5</v>
      </c>
      <c r="M33" s="180" t="s">
        <v>5</v>
      </c>
      <c r="N33" s="120" t="s">
        <v>5</v>
      </c>
      <c r="O33" s="219" t="s">
        <v>5</v>
      </c>
      <c r="P33" s="180" t="s">
        <v>5</v>
      </c>
      <c r="Q33" s="120" t="s">
        <v>5</v>
      </c>
      <c r="R33" s="219" t="s">
        <v>5</v>
      </c>
      <c r="S33" s="180" t="s">
        <v>5</v>
      </c>
      <c r="T33" s="188" t="s">
        <v>5</v>
      </c>
      <c r="U33" s="67" t="s">
        <v>5</v>
      </c>
      <c r="V33" s="237" t="s">
        <v>5</v>
      </c>
      <c r="W33" s="40" t="str">
        <f t="shared" si="0"/>
        <v/>
      </c>
    </row>
    <row r="34" spans="1:23" ht="15.75" customHeight="1">
      <c r="A34" s="235" t="s">
        <v>72</v>
      </c>
      <c r="B34" s="253">
        <v>1</v>
      </c>
      <c r="C34" s="267" t="s">
        <v>8</v>
      </c>
      <c r="D34" s="254" t="s">
        <v>5</v>
      </c>
      <c r="E34" s="143">
        <f>(0.0611+0.015)*100</f>
        <v>7.61</v>
      </c>
      <c r="F34" s="133">
        <v>0</v>
      </c>
      <c r="G34" s="221">
        <v>112380</v>
      </c>
      <c r="H34" s="143">
        <f>0.0245*100</f>
        <v>2.4500000000000002</v>
      </c>
      <c r="I34" s="220">
        <f>G34</f>
        <v>112380</v>
      </c>
      <c r="J34" s="226" t="s">
        <v>5</v>
      </c>
      <c r="K34" s="174" t="s">
        <v>5</v>
      </c>
      <c r="L34" s="475" t="s">
        <v>5</v>
      </c>
      <c r="M34" s="226" t="s">
        <v>5</v>
      </c>
      <c r="N34" s="174" t="s">
        <v>5</v>
      </c>
      <c r="O34" s="475" t="s">
        <v>5</v>
      </c>
      <c r="P34" s="226" t="s">
        <v>5</v>
      </c>
      <c r="Q34" s="174" t="s">
        <v>5</v>
      </c>
      <c r="R34" s="475" t="s">
        <v>5</v>
      </c>
      <c r="S34" s="226" t="s">
        <v>5</v>
      </c>
      <c r="T34" s="188" t="s">
        <v>5</v>
      </c>
      <c r="U34" s="62" t="s">
        <v>6</v>
      </c>
      <c r="V34" s="236">
        <v>100</v>
      </c>
      <c r="W34" s="40" t="str">
        <f t="shared" si="0"/>
        <v>A</v>
      </c>
    </row>
    <row r="35" spans="1:23" ht="15.75" customHeight="1">
      <c r="A35" s="235" t="s">
        <v>72</v>
      </c>
      <c r="B35" s="253">
        <v>2</v>
      </c>
      <c r="C35" s="267" t="s">
        <v>8</v>
      </c>
      <c r="D35" s="254" t="s">
        <v>5</v>
      </c>
      <c r="E35" s="143">
        <f>0.09*100</f>
        <v>9</v>
      </c>
      <c r="F35" s="224" t="s">
        <v>5</v>
      </c>
      <c r="G35" s="225" t="s">
        <v>5</v>
      </c>
      <c r="H35" s="163" t="s">
        <v>5</v>
      </c>
      <c r="I35" s="395" t="s">
        <v>5</v>
      </c>
      <c r="J35" s="472" t="s">
        <v>5</v>
      </c>
      <c r="K35" s="163" t="s">
        <v>5</v>
      </c>
      <c r="L35" s="395" t="s">
        <v>5</v>
      </c>
      <c r="M35" s="472" t="s">
        <v>5</v>
      </c>
      <c r="N35" s="163" t="s">
        <v>5</v>
      </c>
      <c r="O35" s="395" t="s">
        <v>5</v>
      </c>
      <c r="P35" s="472" t="s">
        <v>5</v>
      </c>
      <c r="Q35" s="163" t="s">
        <v>5</v>
      </c>
      <c r="R35" s="395" t="s">
        <v>5</v>
      </c>
      <c r="S35" s="472" t="s">
        <v>5</v>
      </c>
      <c r="T35" s="188" t="s">
        <v>5</v>
      </c>
      <c r="U35" s="62" t="s">
        <v>6</v>
      </c>
      <c r="V35" s="236">
        <v>100</v>
      </c>
      <c r="W35" s="40" t="str">
        <f t="shared" si="0"/>
        <v>A</v>
      </c>
    </row>
    <row r="36" spans="1:23" ht="15.75" customHeight="1">
      <c r="A36" s="235" t="s">
        <v>17</v>
      </c>
      <c r="B36" s="253">
        <v>1</v>
      </c>
      <c r="C36" s="267" t="s">
        <v>7</v>
      </c>
      <c r="D36" s="254" t="s">
        <v>5</v>
      </c>
      <c r="E36" s="143">
        <f>0.11*100</f>
        <v>11</v>
      </c>
      <c r="F36" s="224" t="s">
        <v>5</v>
      </c>
      <c r="G36" s="225" t="s">
        <v>5</v>
      </c>
      <c r="H36" s="163" t="s">
        <v>5</v>
      </c>
      <c r="I36" s="395" t="s">
        <v>5</v>
      </c>
      <c r="J36" s="472" t="s">
        <v>5</v>
      </c>
      <c r="K36" s="163" t="s">
        <v>5</v>
      </c>
      <c r="L36" s="395" t="s">
        <v>5</v>
      </c>
      <c r="M36" s="472" t="s">
        <v>5</v>
      </c>
      <c r="N36" s="163" t="s">
        <v>5</v>
      </c>
      <c r="O36" s="395" t="s">
        <v>5</v>
      </c>
      <c r="P36" s="472" t="s">
        <v>5</v>
      </c>
      <c r="Q36" s="163" t="s">
        <v>5</v>
      </c>
      <c r="R36" s="395" t="s">
        <v>5</v>
      </c>
      <c r="S36" s="472" t="s">
        <v>5</v>
      </c>
      <c r="T36" s="188" t="s">
        <v>5</v>
      </c>
      <c r="U36" s="62" t="s">
        <v>6</v>
      </c>
      <c r="V36" s="236">
        <v>100</v>
      </c>
      <c r="W36" s="40" t="str">
        <f t="shared" si="0"/>
        <v>A</v>
      </c>
    </row>
    <row r="37" spans="1:23" ht="15.75" customHeight="1">
      <c r="A37" s="235" t="s">
        <v>51</v>
      </c>
      <c r="B37" s="253">
        <v>1</v>
      </c>
      <c r="C37" s="267" t="s">
        <v>7</v>
      </c>
      <c r="D37" s="255" t="s">
        <v>5</v>
      </c>
      <c r="E37" s="143">
        <f>0.134*100</f>
        <v>13.4</v>
      </c>
      <c r="F37" s="133" t="s">
        <v>281</v>
      </c>
      <c r="G37" s="134">
        <f>48300/12</f>
        <v>4025</v>
      </c>
      <c r="H37" s="120" t="s">
        <v>5</v>
      </c>
      <c r="I37" s="219" t="s">
        <v>5</v>
      </c>
      <c r="J37" s="180" t="s">
        <v>5</v>
      </c>
      <c r="K37" s="120" t="s">
        <v>5</v>
      </c>
      <c r="L37" s="219" t="s">
        <v>5</v>
      </c>
      <c r="M37" s="180" t="s">
        <v>5</v>
      </c>
      <c r="N37" s="120" t="s">
        <v>5</v>
      </c>
      <c r="O37" s="219" t="s">
        <v>5</v>
      </c>
      <c r="P37" s="180" t="s">
        <v>5</v>
      </c>
      <c r="Q37" s="120" t="s">
        <v>5</v>
      </c>
      <c r="R37" s="219" t="s">
        <v>5</v>
      </c>
      <c r="S37" s="180" t="s">
        <v>5</v>
      </c>
      <c r="T37" s="188">
        <f>+G37*E37/100</f>
        <v>539.35</v>
      </c>
      <c r="U37" s="61" t="s">
        <v>6</v>
      </c>
      <c r="V37" s="238">
        <v>100</v>
      </c>
      <c r="W37" s="40" t="str">
        <f t="shared" si="0"/>
        <v>A</v>
      </c>
    </row>
    <row r="38" spans="1:23" ht="15.75" customHeight="1">
      <c r="A38" s="235" t="s">
        <v>59</v>
      </c>
      <c r="B38" s="253">
        <v>1</v>
      </c>
      <c r="C38" s="267" t="s">
        <v>7</v>
      </c>
      <c r="D38" s="254" t="s">
        <v>5</v>
      </c>
      <c r="E38" s="143">
        <f>0.221*100</f>
        <v>22.1</v>
      </c>
      <c r="F38" s="224" t="s">
        <v>5</v>
      </c>
      <c r="G38" s="225" t="s">
        <v>5</v>
      </c>
      <c r="H38" s="163" t="s">
        <v>5</v>
      </c>
      <c r="I38" s="395" t="s">
        <v>5</v>
      </c>
      <c r="J38" s="472" t="s">
        <v>5</v>
      </c>
      <c r="K38" s="163" t="s">
        <v>5</v>
      </c>
      <c r="L38" s="395" t="s">
        <v>5</v>
      </c>
      <c r="M38" s="472" t="s">
        <v>5</v>
      </c>
      <c r="N38" s="163" t="s">
        <v>5</v>
      </c>
      <c r="O38" s="395" t="s">
        <v>5</v>
      </c>
      <c r="P38" s="472" t="s">
        <v>5</v>
      </c>
      <c r="Q38" s="163" t="s">
        <v>5</v>
      </c>
      <c r="R38" s="395" t="s">
        <v>5</v>
      </c>
      <c r="S38" s="472" t="s">
        <v>5</v>
      </c>
      <c r="T38" s="188" t="s">
        <v>5</v>
      </c>
      <c r="U38" s="62" t="s">
        <v>6</v>
      </c>
      <c r="V38" s="236">
        <v>100</v>
      </c>
      <c r="W38" s="40" t="str">
        <f t="shared" si="0"/>
        <v>A</v>
      </c>
    </row>
    <row r="39" spans="1:23" ht="15.75" customHeight="1">
      <c r="A39" s="235" t="s">
        <v>213</v>
      </c>
      <c r="B39" s="253">
        <v>1</v>
      </c>
      <c r="C39" s="267" t="s">
        <v>8</v>
      </c>
      <c r="D39" s="254" t="s">
        <v>5</v>
      </c>
      <c r="E39" s="143">
        <f>(0.047+0.0155+0.001)*100</f>
        <v>6.35</v>
      </c>
      <c r="F39" s="133" t="s">
        <v>105</v>
      </c>
      <c r="G39" s="134">
        <v>43164</v>
      </c>
      <c r="H39" s="120" t="s">
        <v>5</v>
      </c>
      <c r="I39" s="219" t="s">
        <v>5</v>
      </c>
      <c r="J39" s="180" t="s">
        <v>5</v>
      </c>
      <c r="K39" s="120" t="s">
        <v>5</v>
      </c>
      <c r="L39" s="219" t="s">
        <v>5</v>
      </c>
      <c r="M39" s="180" t="s">
        <v>5</v>
      </c>
      <c r="N39" s="120" t="s">
        <v>5</v>
      </c>
      <c r="O39" s="219" t="s">
        <v>5</v>
      </c>
      <c r="P39" s="180" t="s">
        <v>5</v>
      </c>
      <c r="Q39" s="120" t="s">
        <v>5</v>
      </c>
      <c r="R39" s="219" t="s">
        <v>5</v>
      </c>
      <c r="S39" s="180" t="s">
        <v>5</v>
      </c>
      <c r="T39" s="189">
        <f>G39*(E39/100)</f>
        <v>2740.9140000000002</v>
      </c>
      <c r="U39" s="62" t="s">
        <v>6</v>
      </c>
      <c r="V39" s="236">
        <v>100</v>
      </c>
      <c r="W39" s="40" t="str">
        <f t="shared" si="0"/>
        <v>A</v>
      </c>
    </row>
    <row r="40" spans="1:23" ht="15.75" customHeight="1">
      <c r="A40" s="235" t="s">
        <v>73</v>
      </c>
      <c r="B40" s="253">
        <v>1</v>
      </c>
      <c r="C40" s="267" t="s">
        <v>8</v>
      </c>
      <c r="D40" s="254" t="s">
        <v>5</v>
      </c>
      <c r="E40" s="143">
        <f>0.07*100</f>
        <v>7.0000000000000009</v>
      </c>
      <c r="F40" s="133" t="str">
        <f>"["&amp;0.423*44400&amp;"]"</f>
        <v>[18781.2]</v>
      </c>
      <c r="G40" s="134">
        <f>8.07*56900</f>
        <v>459183</v>
      </c>
      <c r="H40" s="120" t="s">
        <v>5</v>
      </c>
      <c r="I40" s="219" t="s">
        <v>5</v>
      </c>
      <c r="J40" s="180" t="s">
        <v>5</v>
      </c>
      <c r="K40" s="120" t="s">
        <v>5</v>
      </c>
      <c r="L40" s="219" t="s">
        <v>5</v>
      </c>
      <c r="M40" s="180" t="s">
        <v>5</v>
      </c>
      <c r="N40" s="120" t="s">
        <v>5</v>
      </c>
      <c r="O40" s="219" t="s">
        <v>5</v>
      </c>
      <c r="P40" s="180" t="s">
        <v>5</v>
      </c>
      <c r="Q40" s="120" t="s">
        <v>5</v>
      </c>
      <c r="R40" s="219" t="s">
        <v>5</v>
      </c>
      <c r="S40" s="180" t="s">
        <v>5</v>
      </c>
      <c r="T40" s="189">
        <f>ROUND(E40*G40/100,-2)</f>
        <v>32100</v>
      </c>
      <c r="U40" s="62" t="s">
        <v>28</v>
      </c>
      <c r="V40" s="236">
        <v>100</v>
      </c>
      <c r="W40" s="40" t="str">
        <f t="shared" si="0"/>
        <v>C</v>
      </c>
    </row>
    <row r="41" spans="1:23" ht="15.75" customHeight="1">
      <c r="A41" s="235" t="s">
        <v>74</v>
      </c>
      <c r="B41" s="253">
        <v>1</v>
      </c>
      <c r="C41" s="267" t="s">
        <v>8</v>
      </c>
      <c r="D41" s="254" t="s">
        <v>5</v>
      </c>
      <c r="E41" s="143">
        <f>(0.011*100)+K41</f>
        <v>6.2499999999999991</v>
      </c>
      <c r="F41" s="224">
        <v>0</v>
      </c>
      <c r="G41" s="140">
        <v>126000</v>
      </c>
      <c r="H41" s="143">
        <f>(0.005*100)+K41</f>
        <v>5.6499999999999995</v>
      </c>
      <c r="I41" s="139">
        <f>G41</f>
        <v>126000</v>
      </c>
      <c r="J41" s="142" t="s">
        <v>5</v>
      </c>
      <c r="K41" s="143">
        <f>0.0515*100</f>
        <v>5.1499999999999995</v>
      </c>
      <c r="L41" s="219" t="s">
        <v>5</v>
      </c>
      <c r="M41" s="180" t="s">
        <v>5</v>
      </c>
      <c r="N41" s="121" t="s">
        <v>5</v>
      </c>
      <c r="O41" s="218" t="s">
        <v>5</v>
      </c>
      <c r="P41" s="142" t="s">
        <v>5</v>
      </c>
      <c r="Q41" s="121" t="s">
        <v>5</v>
      </c>
      <c r="R41" s="218" t="s">
        <v>5</v>
      </c>
      <c r="S41" s="142" t="s">
        <v>5</v>
      </c>
      <c r="T41" s="188" t="s">
        <v>5</v>
      </c>
      <c r="U41" s="62" t="s">
        <v>6</v>
      </c>
      <c r="V41" s="236">
        <v>100</v>
      </c>
      <c r="W41" s="40" t="str">
        <f t="shared" si="0"/>
        <v>A</v>
      </c>
    </row>
    <row r="42" spans="1:23" ht="15.75" customHeight="1">
      <c r="A42" s="235" t="s">
        <v>43</v>
      </c>
      <c r="B42" s="253">
        <v>1</v>
      </c>
      <c r="C42" s="267" t="s">
        <v>8</v>
      </c>
      <c r="D42" s="254" t="s">
        <v>5</v>
      </c>
      <c r="E42" s="143">
        <f>0.15*100</f>
        <v>15</v>
      </c>
      <c r="F42" s="224" t="s">
        <v>204</v>
      </c>
      <c r="G42" s="225">
        <v>85995</v>
      </c>
      <c r="H42" s="163" t="s">
        <v>5</v>
      </c>
      <c r="I42" s="395" t="s">
        <v>5</v>
      </c>
      <c r="J42" s="472" t="s">
        <v>5</v>
      </c>
      <c r="K42" s="163" t="s">
        <v>5</v>
      </c>
      <c r="L42" s="395" t="s">
        <v>5</v>
      </c>
      <c r="M42" s="472" t="s">
        <v>5</v>
      </c>
      <c r="N42" s="163" t="s">
        <v>5</v>
      </c>
      <c r="O42" s="395" t="s">
        <v>5</v>
      </c>
      <c r="P42" s="472" t="s">
        <v>5</v>
      </c>
      <c r="Q42" s="163" t="s">
        <v>5</v>
      </c>
      <c r="R42" s="395" t="s">
        <v>5</v>
      </c>
      <c r="S42" s="472" t="s">
        <v>5</v>
      </c>
      <c r="T42" s="189">
        <f>G42*E42/100</f>
        <v>12899.25</v>
      </c>
      <c r="U42" s="62" t="s">
        <v>6</v>
      </c>
      <c r="V42" s="236">
        <v>100</v>
      </c>
      <c r="W42" s="40" t="str">
        <f t="shared" si="0"/>
        <v>A</v>
      </c>
    </row>
    <row r="43" spans="1:23" ht="15.75" customHeight="1">
      <c r="A43" s="235" t="s">
        <v>47</v>
      </c>
      <c r="B43" s="253">
        <v>1</v>
      </c>
      <c r="C43" s="267" t="s">
        <v>19</v>
      </c>
      <c r="D43" s="254" t="s">
        <v>5</v>
      </c>
      <c r="E43" s="143">
        <f>0.12*100</f>
        <v>12</v>
      </c>
      <c r="F43" s="224">
        <f>7956/52</f>
        <v>153</v>
      </c>
      <c r="G43" s="225">
        <f>41865/52</f>
        <v>805.09615384615381</v>
      </c>
      <c r="H43" s="143">
        <f>0.02*100</f>
        <v>2</v>
      </c>
      <c r="I43" s="224">
        <f>G43</f>
        <v>805.09615384615381</v>
      </c>
      <c r="J43" s="472" t="s">
        <v>5</v>
      </c>
      <c r="K43" s="163" t="s">
        <v>5</v>
      </c>
      <c r="L43" s="395" t="s">
        <v>5</v>
      </c>
      <c r="M43" s="472" t="s">
        <v>5</v>
      </c>
      <c r="N43" s="163" t="s">
        <v>5</v>
      </c>
      <c r="O43" s="395" t="s">
        <v>5</v>
      </c>
      <c r="P43" s="472" t="s">
        <v>5</v>
      </c>
      <c r="Q43" s="163" t="s">
        <v>5</v>
      </c>
      <c r="R43" s="395" t="s">
        <v>5</v>
      </c>
      <c r="S43" s="472" t="s">
        <v>5</v>
      </c>
      <c r="T43" s="188" t="s">
        <v>5</v>
      </c>
      <c r="U43" s="67" t="s">
        <v>5</v>
      </c>
      <c r="V43" s="237" t="s">
        <v>5</v>
      </c>
      <c r="W43" s="40" t="str">
        <f t="shared" si="0"/>
        <v/>
      </c>
    </row>
    <row r="44" spans="1:23" ht="15.75" customHeight="1">
      <c r="A44" s="246" t="s">
        <v>20</v>
      </c>
      <c r="B44" s="262">
        <v>1</v>
      </c>
      <c r="C44" s="269" t="s">
        <v>8</v>
      </c>
      <c r="D44" s="263" t="s">
        <v>5</v>
      </c>
      <c r="E44" s="247">
        <f>(0.062*100)+H44</f>
        <v>7.65</v>
      </c>
      <c r="F44" s="149">
        <v>0</v>
      </c>
      <c r="G44" s="138">
        <v>117000</v>
      </c>
      <c r="H44" s="247">
        <f>0.0145*100</f>
        <v>1.4500000000000002</v>
      </c>
      <c r="I44" s="137">
        <f>G44</f>
        <v>117000</v>
      </c>
      <c r="J44" s="125" t="s">
        <v>5</v>
      </c>
      <c r="K44" s="476" t="s">
        <v>5</v>
      </c>
      <c r="L44" s="477" t="s">
        <v>5</v>
      </c>
      <c r="M44" s="125" t="s">
        <v>5</v>
      </c>
      <c r="N44" s="476" t="s">
        <v>5</v>
      </c>
      <c r="O44" s="477" t="s">
        <v>5</v>
      </c>
      <c r="P44" s="125" t="s">
        <v>5</v>
      </c>
      <c r="Q44" s="476" t="s">
        <v>5</v>
      </c>
      <c r="R44" s="477" t="s">
        <v>5</v>
      </c>
      <c r="S44" s="125" t="s">
        <v>5</v>
      </c>
      <c r="T44" s="248" t="s">
        <v>5</v>
      </c>
      <c r="U44" s="249" t="s">
        <v>5</v>
      </c>
      <c r="V44" s="250" t="s">
        <v>5</v>
      </c>
      <c r="W44" s="40" t="str">
        <f t="shared" si="0"/>
        <v/>
      </c>
    </row>
    <row r="45" spans="1:23" ht="15.75" customHeight="1">
      <c r="A45" s="176"/>
      <c r="B45" s="25"/>
      <c r="C45" s="62"/>
      <c r="D45" s="65"/>
      <c r="E45" s="63"/>
      <c r="F45" s="87"/>
      <c r="G45" s="35"/>
      <c r="H45" s="35"/>
      <c r="I45" s="35"/>
      <c r="J45" s="35"/>
      <c r="K45" s="35"/>
      <c r="L45" s="35"/>
      <c r="M45" s="35"/>
      <c r="N45" s="35"/>
      <c r="O45" s="35"/>
      <c r="P45" s="35"/>
      <c r="Q45" s="35"/>
      <c r="R45" s="35"/>
      <c r="S45" s="35"/>
      <c r="T45" s="64"/>
      <c r="U45" s="67"/>
      <c r="V45" s="68"/>
    </row>
    <row r="46" spans="1:23" s="75" customFormat="1" ht="12.75" customHeight="1">
      <c r="A46" s="535" t="s">
        <v>94</v>
      </c>
      <c r="B46" s="535"/>
      <c r="C46" s="535"/>
      <c r="D46" s="535"/>
      <c r="E46" s="535"/>
      <c r="F46" s="535"/>
      <c r="G46" s="535"/>
      <c r="H46" s="535"/>
      <c r="I46" s="535"/>
      <c r="J46" s="535"/>
      <c r="K46" s="535"/>
      <c r="L46" s="535"/>
      <c r="M46" s="535"/>
      <c r="N46" s="535"/>
      <c r="O46" s="535"/>
      <c r="P46" s="535"/>
      <c r="Q46" s="535"/>
      <c r="R46" s="535"/>
      <c r="S46" s="535"/>
      <c r="T46" s="535"/>
      <c r="U46" s="535"/>
      <c r="V46" s="535"/>
    </row>
    <row r="47" spans="1:23" s="76" customFormat="1" ht="12.75" customHeight="1">
      <c r="A47" s="539" t="s">
        <v>95</v>
      </c>
      <c r="B47" s="539"/>
      <c r="C47" s="539"/>
      <c r="D47" s="539"/>
      <c r="E47" s="539"/>
      <c r="F47" s="539"/>
      <c r="G47" s="539"/>
      <c r="H47" s="539"/>
      <c r="I47" s="539"/>
      <c r="J47" s="539"/>
      <c r="K47" s="539"/>
      <c r="L47" s="539"/>
      <c r="M47" s="539"/>
      <c r="N47" s="539"/>
      <c r="O47" s="539"/>
      <c r="P47" s="539"/>
      <c r="Q47" s="539"/>
      <c r="R47" s="539"/>
      <c r="S47" s="539"/>
      <c r="T47" s="539"/>
      <c r="U47" s="539"/>
      <c r="V47" s="539"/>
    </row>
    <row r="48" spans="1:23" s="76" customFormat="1" ht="12.75" customHeight="1">
      <c r="A48" s="539" t="s">
        <v>107</v>
      </c>
      <c r="B48" s="539"/>
      <c r="C48" s="539"/>
      <c r="D48" s="539"/>
      <c r="E48" s="539"/>
      <c r="F48" s="539"/>
      <c r="G48" s="539"/>
      <c r="H48" s="539"/>
      <c r="I48" s="539"/>
      <c r="J48" s="539"/>
      <c r="K48" s="539"/>
      <c r="L48" s="539"/>
      <c r="M48" s="539"/>
      <c r="N48" s="539"/>
      <c r="O48" s="539"/>
      <c r="P48" s="539"/>
      <c r="Q48" s="539"/>
      <c r="R48" s="539"/>
      <c r="S48" s="539"/>
      <c r="T48" s="539"/>
      <c r="U48" s="539"/>
      <c r="V48" s="539"/>
    </row>
    <row r="49" spans="1:33" s="76" customFormat="1" ht="12.75" customHeight="1">
      <c r="A49" s="539" t="s">
        <v>108</v>
      </c>
      <c r="B49" s="539"/>
      <c r="C49" s="539"/>
      <c r="D49" s="539"/>
      <c r="E49" s="539"/>
      <c r="F49" s="539"/>
      <c r="G49" s="539"/>
      <c r="H49" s="539"/>
      <c r="I49" s="539"/>
      <c r="J49" s="539"/>
      <c r="K49" s="539"/>
      <c r="L49" s="539"/>
      <c r="M49" s="539"/>
      <c r="N49" s="539"/>
      <c r="O49" s="539"/>
      <c r="P49" s="539"/>
      <c r="Q49" s="539"/>
      <c r="R49" s="539"/>
      <c r="S49" s="539"/>
      <c r="T49" s="539"/>
      <c r="U49" s="539"/>
      <c r="V49" s="539"/>
    </row>
    <row r="50" spans="1:33" s="76" customFormat="1" ht="12.75" customHeight="1">
      <c r="A50" s="516" t="s">
        <v>1</v>
      </c>
      <c r="B50" s="84" t="s">
        <v>122</v>
      </c>
      <c r="C50" s="509" t="s">
        <v>123</v>
      </c>
      <c r="D50" s="103"/>
      <c r="E50" s="103"/>
      <c r="F50" s="104"/>
      <c r="U50" s="100"/>
      <c r="V50" s="100"/>
    </row>
    <row r="51" spans="1:33" s="76" customFormat="1" ht="12.75" customHeight="1">
      <c r="A51" s="517"/>
      <c r="B51" s="85" t="s">
        <v>124</v>
      </c>
      <c r="C51" s="510" t="s">
        <v>126</v>
      </c>
      <c r="D51" s="105"/>
      <c r="E51" s="105"/>
      <c r="F51" s="106"/>
      <c r="U51" s="83"/>
      <c r="V51" s="83"/>
    </row>
    <row r="52" spans="1:33" s="76" customFormat="1" ht="12.75" customHeight="1">
      <c r="A52" s="517"/>
      <c r="B52" s="85" t="s">
        <v>125</v>
      </c>
      <c r="C52" s="510" t="s">
        <v>136</v>
      </c>
      <c r="D52" s="105"/>
      <c r="E52" s="105"/>
      <c r="F52" s="106"/>
      <c r="U52" s="83"/>
      <c r="V52" s="83"/>
    </row>
    <row r="53" spans="1:33" s="76" customFormat="1" ht="12.75" customHeight="1">
      <c r="A53" s="517"/>
      <c r="B53" s="85" t="s">
        <v>128</v>
      </c>
      <c r="C53" s="510" t="s">
        <v>129</v>
      </c>
      <c r="D53" s="105"/>
      <c r="E53" s="105"/>
      <c r="F53" s="106"/>
      <c r="U53" s="83"/>
      <c r="V53" s="83"/>
    </row>
    <row r="54" spans="1:33" s="76" customFormat="1" ht="12.75" customHeight="1">
      <c r="A54" s="517"/>
      <c r="B54" s="86" t="s">
        <v>130</v>
      </c>
      <c r="C54" s="511" t="s">
        <v>133</v>
      </c>
      <c r="D54" s="107"/>
      <c r="E54" s="107"/>
      <c r="F54" s="108"/>
      <c r="U54" s="83"/>
      <c r="V54" s="83"/>
    </row>
    <row r="55" spans="1:33" s="76" customFormat="1" ht="12.75" customHeight="1">
      <c r="A55" s="517"/>
      <c r="C55" s="78"/>
      <c r="D55" s="93"/>
      <c r="E55" s="93"/>
      <c r="F55" s="93"/>
      <c r="U55" s="83"/>
      <c r="V55" s="83"/>
    </row>
    <row r="56" spans="1:33" s="76" customFormat="1" ht="12.75" customHeight="1">
      <c r="A56" s="518" t="s">
        <v>127</v>
      </c>
      <c r="B56" s="84" t="s">
        <v>128</v>
      </c>
      <c r="C56" s="509" t="s">
        <v>129</v>
      </c>
      <c r="D56" s="103"/>
      <c r="E56" s="103"/>
      <c r="F56" s="104"/>
      <c r="G56" s="76" t="s">
        <v>255</v>
      </c>
      <c r="U56" s="100"/>
      <c r="V56" s="100"/>
    </row>
    <row r="57" spans="1:33" s="76" customFormat="1" ht="12.75" customHeight="1">
      <c r="A57" s="517"/>
      <c r="B57" s="85" t="s">
        <v>130</v>
      </c>
      <c r="C57" s="510" t="s">
        <v>133</v>
      </c>
      <c r="D57" s="105"/>
      <c r="E57" s="105"/>
      <c r="F57" s="106"/>
      <c r="G57" s="76" t="s">
        <v>256</v>
      </c>
      <c r="U57" s="83"/>
      <c r="V57" s="83"/>
    </row>
    <row r="58" spans="1:33" s="76" customFormat="1" ht="12.75" customHeight="1">
      <c r="A58" s="519"/>
      <c r="B58" s="86" t="s">
        <v>28</v>
      </c>
      <c r="C58" s="511" t="s">
        <v>214</v>
      </c>
      <c r="D58" s="109"/>
      <c r="E58" s="109"/>
      <c r="F58" s="110"/>
      <c r="G58" s="76" t="s">
        <v>257</v>
      </c>
      <c r="U58" s="83"/>
      <c r="V58" s="83"/>
    </row>
    <row r="59" spans="1:33" s="76" customFormat="1" ht="12.75" customHeight="1">
      <c r="A59" s="520"/>
      <c r="C59" s="78"/>
      <c r="D59" s="83"/>
      <c r="F59" s="83"/>
      <c r="G59" s="83"/>
      <c r="H59" s="83"/>
      <c r="I59" s="83"/>
      <c r="J59" s="83"/>
      <c r="K59" s="83"/>
      <c r="L59" s="83"/>
      <c r="M59" s="83"/>
      <c r="N59" s="83"/>
      <c r="O59" s="83"/>
      <c r="P59" s="83"/>
      <c r="Q59" s="83"/>
      <c r="R59" s="83"/>
      <c r="S59" s="83"/>
      <c r="T59" s="83"/>
      <c r="U59" s="83"/>
      <c r="V59" s="83"/>
    </row>
    <row r="60" spans="1:33" s="76" customFormat="1" ht="20.25" customHeight="1">
      <c r="A60" s="540" t="s">
        <v>96</v>
      </c>
      <c r="B60" s="540"/>
      <c r="C60" s="540"/>
      <c r="D60" s="540"/>
      <c r="E60" s="540"/>
      <c r="F60" s="540"/>
      <c r="G60" s="540"/>
      <c r="H60" s="540"/>
      <c r="I60" s="540"/>
      <c r="J60" s="540"/>
      <c r="K60" s="540"/>
      <c r="L60" s="540"/>
      <c r="M60" s="540"/>
      <c r="N60" s="540"/>
      <c r="O60" s="540"/>
      <c r="P60" s="540"/>
      <c r="Q60" s="540"/>
      <c r="R60" s="540"/>
      <c r="S60" s="540"/>
      <c r="T60" s="540"/>
      <c r="U60" s="540"/>
      <c r="V60" s="540"/>
    </row>
    <row r="61" spans="1:33" s="76" customFormat="1" ht="17.25" customHeight="1">
      <c r="A61" s="539" t="s">
        <v>97</v>
      </c>
      <c r="B61" s="539"/>
      <c r="C61" s="539"/>
      <c r="D61" s="539"/>
      <c r="E61" s="539"/>
      <c r="F61" s="539"/>
      <c r="G61" s="539"/>
      <c r="H61" s="539"/>
      <c r="I61" s="539"/>
      <c r="J61" s="539"/>
      <c r="K61" s="539"/>
      <c r="L61" s="539"/>
      <c r="M61" s="539"/>
      <c r="N61" s="539"/>
      <c r="O61" s="539"/>
      <c r="P61" s="539"/>
      <c r="Q61" s="539"/>
      <c r="R61" s="539"/>
      <c r="S61" s="539"/>
      <c r="T61" s="539"/>
      <c r="U61" s="539"/>
      <c r="V61" s="539"/>
    </row>
    <row r="62" spans="1:33" s="76" customFormat="1" ht="22.5" customHeight="1">
      <c r="A62" s="521" t="s">
        <v>98</v>
      </c>
      <c r="B62" s="177"/>
      <c r="C62" s="512"/>
      <c r="D62" s="177"/>
      <c r="E62" s="177"/>
      <c r="F62" s="177"/>
      <c r="G62" s="177"/>
      <c r="H62" s="177"/>
      <c r="I62" s="177"/>
      <c r="J62" s="177"/>
      <c r="K62" s="177"/>
      <c r="L62" s="177"/>
      <c r="M62" s="177"/>
      <c r="N62" s="177"/>
      <c r="O62" s="177"/>
      <c r="P62" s="177"/>
      <c r="Q62" s="177"/>
      <c r="R62" s="177"/>
      <c r="S62" s="177"/>
      <c r="T62" s="177"/>
      <c r="U62" s="177"/>
      <c r="V62" s="177"/>
    </row>
    <row r="63" spans="1:33" s="76" customFormat="1" ht="50.25" customHeight="1">
      <c r="A63" s="539" t="s">
        <v>238</v>
      </c>
      <c r="B63" s="539"/>
      <c r="C63" s="539"/>
      <c r="D63" s="539"/>
      <c r="E63" s="539"/>
      <c r="F63" s="539"/>
      <c r="G63" s="539"/>
      <c r="H63" s="539"/>
      <c r="I63" s="539"/>
      <c r="J63" s="539"/>
      <c r="K63" s="539"/>
      <c r="L63" s="539"/>
      <c r="M63" s="539"/>
      <c r="N63" s="539"/>
      <c r="O63" s="539"/>
      <c r="P63" s="539"/>
      <c r="Q63" s="539"/>
      <c r="R63" s="539"/>
      <c r="S63" s="539"/>
      <c r="T63" s="539"/>
      <c r="U63" s="539"/>
      <c r="V63" s="539"/>
      <c r="W63" s="83"/>
      <c r="X63" s="83"/>
      <c r="Y63" s="83"/>
      <c r="Z63" s="83"/>
      <c r="AA63" s="83"/>
      <c r="AB63" s="83"/>
      <c r="AC63" s="83"/>
      <c r="AD63" s="83"/>
      <c r="AE63" s="83"/>
      <c r="AF63" s="83"/>
      <c r="AG63" s="83"/>
    </row>
    <row r="64" spans="1:33" s="76" customFormat="1" ht="22.5" customHeight="1">
      <c r="A64" s="539" t="s">
        <v>226</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35.25" customHeight="1">
      <c r="A65" s="539" t="s">
        <v>227</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48.75" customHeight="1">
      <c r="A66" s="539" t="s">
        <v>228</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93" customHeight="1">
      <c r="A67" s="539" t="s">
        <v>251</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50.25" customHeight="1">
      <c r="A68" s="539" t="s">
        <v>230</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26.25" customHeight="1">
      <c r="A69" s="538"/>
      <c r="B69" s="538"/>
      <c r="C69" s="538"/>
      <c r="D69" s="538"/>
      <c r="E69" s="538"/>
      <c r="F69" s="538"/>
      <c r="G69" s="538"/>
      <c r="H69" s="538"/>
      <c r="I69" s="538"/>
      <c r="J69" s="538"/>
      <c r="K69" s="538"/>
      <c r="L69" s="538"/>
      <c r="M69" s="538"/>
      <c r="N69" s="538"/>
      <c r="O69" s="538"/>
      <c r="P69" s="538"/>
      <c r="Q69" s="538"/>
      <c r="R69" s="538"/>
      <c r="S69" s="538"/>
      <c r="T69" s="538"/>
      <c r="U69" s="538"/>
      <c r="V69" s="538"/>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s="76" customFormat="1" ht="25.5" customHeight="1">
      <c r="A71" s="540" t="s">
        <v>259</v>
      </c>
      <c r="B71" s="540"/>
      <c r="C71" s="540"/>
      <c r="D71" s="540"/>
      <c r="E71" s="540"/>
      <c r="F71" s="540"/>
      <c r="G71" s="540"/>
      <c r="H71" s="540"/>
      <c r="I71" s="540"/>
      <c r="J71" s="540"/>
      <c r="K71" s="540"/>
      <c r="L71" s="540"/>
      <c r="M71" s="540"/>
      <c r="N71" s="540"/>
      <c r="O71" s="540"/>
      <c r="P71" s="540"/>
      <c r="Q71" s="540"/>
      <c r="R71" s="540"/>
      <c r="S71" s="540"/>
      <c r="T71" s="540"/>
      <c r="U71" s="540"/>
      <c r="V71" s="540"/>
    </row>
    <row r="72" spans="1:33" s="76" customFormat="1" ht="24.75" customHeight="1">
      <c r="A72" s="540" t="s">
        <v>109</v>
      </c>
      <c r="B72" s="540"/>
      <c r="C72" s="540"/>
      <c r="D72" s="540"/>
      <c r="E72" s="540"/>
      <c r="F72" s="540"/>
      <c r="G72" s="540"/>
      <c r="H72" s="540"/>
      <c r="I72" s="540"/>
      <c r="J72" s="540"/>
      <c r="K72" s="540"/>
      <c r="L72" s="540"/>
      <c r="M72" s="540"/>
      <c r="N72" s="540"/>
      <c r="O72" s="540"/>
      <c r="P72" s="540"/>
      <c r="Q72" s="540"/>
      <c r="R72" s="540"/>
      <c r="S72" s="540"/>
      <c r="T72" s="540"/>
      <c r="U72" s="540"/>
      <c r="V72" s="540"/>
    </row>
    <row r="73" spans="1:33" s="76" customFormat="1" ht="33.75" customHeight="1">
      <c r="A73" s="540" t="s">
        <v>205</v>
      </c>
      <c r="B73" s="540"/>
      <c r="C73" s="540"/>
      <c r="D73" s="540"/>
      <c r="E73" s="540"/>
      <c r="F73" s="540"/>
      <c r="G73" s="540"/>
      <c r="H73" s="540"/>
      <c r="I73" s="540"/>
      <c r="J73" s="540"/>
      <c r="K73" s="540"/>
      <c r="L73" s="540"/>
      <c r="M73" s="540"/>
      <c r="N73" s="540"/>
      <c r="O73" s="540"/>
      <c r="P73" s="540"/>
      <c r="Q73" s="540"/>
      <c r="R73" s="540"/>
      <c r="S73" s="540"/>
      <c r="T73" s="540"/>
      <c r="U73" s="540"/>
      <c r="V73" s="540"/>
    </row>
    <row r="74" spans="1:33" s="76" customFormat="1" ht="26.25" customHeight="1">
      <c r="A74" s="540" t="s">
        <v>110</v>
      </c>
      <c r="B74" s="540"/>
      <c r="C74" s="540"/>
      <c r="D74" s="540"/>
      <c r="E74" s="540"/>
      <c r="F74" s="540"/>
      <c r="G74" s="540"/>
      <c r="H74" s="540"/>
      <c r="I74" s="540"/>
      <c r="J74" s="540"/>
      <c r="K74" s="540"/>
      <c r="L74" s="540"/>
      <c r="M74" s="540"/>
      <c r="N74" s="540"/>
      <c r="O74" s="540"/>
      <c r="P74" s="540"/>
      <c r="Q74" s="540"/>
      <c r="R74" s="540"/>
      <c r="S74" s="540"/>
      <c r="T74" s="540"/>
      <c r="U74" s="540"/>
      <c r="V74" s="540"/>
    </row>
    <row r="75" spans="1:33" s="76" customFormat="1" ht="47.25" customHeight="1">
      <c r="A75" s="540" t="s">
        <v>206</v>
      </c>
      <c r="B75" s="540"/>
      <c r="C75" s="540"/>
      <c r="D75" s="540"/>
      <c r="E75" s="540"/>
      <c r="F75" s="540"/>
      <c r="G75" s="540"/>
      <c r="H75" s="540"/>
      <c r="I75" s="540"/>
      <c r="J75" s="540"/>
      <c r="K75" s="540"/>
      <c r="L75" s="540"/>
      <c r="M75" s="540"/>
      <c r="N75" s="540"/>
      <c r="O75" s="540"/>
      <c r="P75" s="540"/>
      <c r="Q75" s="540"/>
      <c r="R75" s="540"/>
      <c r="S75" s="540"/>
      <c r="T75" s="540"/>
      <c r="U75" s="540"/>
      <c r="V75" s="540"/>
    </row>
    <row r="76" spans="1:33" s="76" customFormat="1" ht="20.25" customHeight="1">
      <c r="A76" s="540" t="s">
        <v>112</v>
      </c>
      <c r="B76" s="540"/>
      <c r="C76" s="540"/>
      <c r="D76" s="540"/>
      <c r="E76" s="540"/>
      <c r="F76" s="540"/>
      <c r="G76" s="540"/>
      <c r="H76" s="540"/>
      <c r="I76" s="540"/>
      <c r="J76" s="540"/>
      <c r="K76" s="540"/>
      <c r="L76" s="540"/>
      <c r="M76" s="540"/>
      <c r="N76" s="540"/>
      <c r="O76" s="540"/>
      <c r="P76" s="540"/>
      <c r="Q76" s="540"/>
      <c r="R76" s="540"/>
      <c r="S76" s="540"/>
      <c r="T76" s="540"/>
      <c r="U76" s="540"/>
      <c r="V76" s="540"/>
    </row>
    <row r="77" spans="1:33" s="76" customFormat="1" ht="20.25" customHeight="1">
      <c r="A77" s="540" t="s">
        <v>217</v>
      </c>
      <c r="B77" s="540"/>
      <c r="C77" s="540"/>
      <c r="D77" s="540"/>
      <c r="E77" s="540"/>
      <c r="F77" s="540"/>
      <c r="G77" s="540"/>
      <c r="H77" s="540"/>
      <c r="I77" s="540"/>
      <c r="J77" s="540"/>
      <c r="K77" s="540"/>
      <c r="L77" s="540"/>
      <c r="M77" s="540"/>
      <c r="N77" s="540"/>
      <c r="O77" s="540"/>
      <c r="P77" s="540"/>
      <c r="Q77" s="540"/>
      <c r="R77" s="540"/>
      <c r="S77" s="540"/>
      <c r="T77" s="540"/>
      <c r="U77" s="540"/>
      <c r="V77" s="540"/>
    </row>
    <row r="78" spans="1:33" s="76" customFormat="1" ht="27.75" customHeight="1">
      <c r="A78" s="540" t="s">
        <v>207</v>
      </c>
      <c r="B78" s="540"/>
      <c r="C78" s="540"/>
      <c r="D78" s="540"/>
      <c r="E78" s="540"/>
      <c r="F78" s="540"/>
      <c r="G78" s="540"/>
      <c r="H78" s="540"/>
      <c r="I78" s="540"/>
      <c r="J78" s="540"/>
      <c r="K78" s="540"/>
      <c r="L78" s="540"/>
      <c r="M78" s="540"/>
      <c r="N78" s="540"/>
      <c r="O78" s="540"/>
      <c r="P78" s="540"/>
      <c r="Q78" s="540"/>
      <c r="R78" s="540"/>
      <c r="S78" s="540"/>
      <c r="T78" s="540"/>
      <c r="U78" s="540"/>
      <c r="V78" s="540"/>
    </row>
    <row r="79" spans="1:33" s="76" customFormat="1" ht="59.25" customHeight="1">
      <c r="A79" s="540" t="s">
        <v>208</v>
      </c>
      <c r="B79" s="540"/>
      <c r="C79" s="540"/>
      <c r="D79" s="540"/>
      <c r="E79" s="540"/>
      <c r="F79" s="540"/>
      <c r="G79" s="540"/>
      <c r="H79" s="540"/>
      <c r="I79" s="540"/>
      <c r="J79" s="540"/>
      <c r="K79" s="540"/>
      <c r="L79" s="540"/>
      <c r="M79" s="540"/>
      <c r="N79" s="540"/>
      <c r="O79" s="540"/>
      <c r="P79" s="540"/>
      <c r="Q79" s="540"/>
      <c r="R79" s="540"/>
      <c r="S79" s="540"/>
      <c r="T79" s="540"/>
      <c r="U79" s="540"/>
      <c r="V79" s="540"/>
    </row>
    <row r="80" spans="1:33" s="76" customFormat="1" ht="21" customHeight="1">
      <c r="A80" s="540" t="s">
        <v>209</v>
      </c>
      <c r="B80" s="540"/>
      <c r="C80" s="540"/>
      <c r="D80" s="540"/>
      <c r="E80" s="540"/>
      <c r="F80" s="540"/>
      <c r="G80" s="540"/>
      <c r="H80" s="540"/>
      <c r="I80" s="540"/>
      <c r="J80" s="540"/>
      <c r="K80" s="540"/>
      <c r="L80" s="540"/>
      <c r="M80" s="540"/>
      <c r="N80" s="540"/>
      <c r="O80" s="540"/>
      <c r="P80" s="540"/>
      <c r="Q80" s="540"/>
      <c r="R80" s="540"/>
      <c r="S80" s="540"/>
      <c r="T80" s="540"/>
      <c r="U80" s="540"/>
      <c r="V80" s="540"/>
    </row>
    <row r="81" spans="1:22" s="76" customFormat="1" ht="31.5" customHeight="1">
      <c r="A81" s="540" t="s">
        <v>210</v>
      </c>
      <c r="B81" s="540"/>
      <c r="C81" s="540"/>
      <c r="D81" s="540"/>
      <c r="E81" s="540"/>
      <c r="F81" s="540"/>
      <c r="G81" s="540"/>
      <c r="H81" s="540"/>
      <c r="I81" s="540"/>
      <c r="J81" s="540"/>
      <c r="K81" s="540"/>
      <c r="L81" s="540"/>
      <c r="M81" s="540"/>
      <c r="N81" s="540"/>
      <c r="O81" s="540"/>
      <c r="P81" s="540"/>
      <c r="Q81" s="540"/>
      <c r="R81" s="540"/>
      <c r="S81" s="540"/>
      <c r="T81" s="540"/>
      <c r="U81" s="540"/>
      <c r="V81" s="540"/>
    </row>
    <row r="82" spans="1:22" s="76" customFormat="1" ht="47.25" customHeight="1">
      <c r="A82" s="540" t="s">
        <v>211</v>
      </c>
      <c r="B82" s="540"/>
      <c r="C82" s="540"/>
      <c r="D82" s="540"/>
      <c r="E82" s="540"/>
      <c r="F82" s="540"/>
      <c r="G82" s="540"/>
      <c r="H82" s="540"/>
      <c r="I82" s="540"/>
      <c r="J82" s="540"/>
      <c r="K82" s="540"/>
      <c r="L82" s="540"/>
      <c r="M82" s="540"/>
      <c r="N82" s="540"/>
      <c r="O82" s="540"/>
      <c r="P82" s="540"/>
      <c r="Q82" s="540"/>
      <c r="R82" s="540"/>
      <c r="S82" s="540"/>
      <c r="T82" s="540"/>
      <c r="U82" s="540"/>
      <c r="V82" s="540"/>
    </row>
    <row r="83" spans="1:22" s="76" customFormat="1" ht="21" customHeight="1">
      <c r="A83" s="540" t="s">
        <v>116</v>
      </c>
      <c r="B83" s="540"/>
      <c r="C83" s="540"/>
      <c r="D83" s="540"/>
      <c r="E83" s="540"/>
      <c r="F83" s="540"/>
      <c r="G83" s="540"/>
      <c r="H83" s="540"/>
      <c r="I83" s="540"/>
      <c r="J83" s="540"/>
      <c r="K83" s="540"/>
      <c r="L83" s="540"/>
      <c r="M83" s="540"/>
      <c r="N83" s="540"/>
      <c r="O83" s="540"/>
      <c r="P83" s="540"/>
      <c r="Q83" s="540"/>
      <c r="R83" s="540"/>
      <c r="S83" s="540"/>
      <c r="T83" s="540"/>
      <c r="U83" s="540"/>
      <c r="V83" s="540"/>
    </row>
    <row r="84" spans="1:22" s="76" customFormat="1" ht="26.25" customHeight="1">
      <c r="A84" s="540" t="s">
        <v>117</v>
      </c>
      <c r="B84" s="540"/>
      <c r="C84" s="540"/>
      <c r="D84" s="540"/>
      <c r="E84" s="540"/>
      <c r="F84" s="540"/>
      <c r="G84" s="540"/>
      <c r="H84" s="540"/>
      <c r="I84" s="540"/>
      <c r="J84" s="540"/>
      <c r="K84" s="540"/>
      <c r="L84" s="540"/>
      <c r="M84" s="540"/>
      <c r="N84" s="540"/>
      <c r="O84" s="540"/>
      <c r="P84" s="540"/>
      <c r="Q84" s="540"/>
      <c r="R84" s="540"/>
      <c r="S84" s="540"/>
      <c r="T84" s="540"/>
      <c r="U84" s="540"/>
      <c r="V84" s="540"/>
    </row>
    <row r="85" spans="1:22" s="76" customFormat="1" ht="20.25" customHeight="1">
      <c r="A85" s="540" t="s">
        <v>118</v>
      </c>
      <c r="B85" s="540"/>
      <c r="C85" s="540"/>
      <c r="D85" s="540"/>
      <c r="E85" s="540"/>
      <c r="F85" s="540"/>
      <c r="G85" s="540"/>
      <c r="H85" s="540"/>
      <c r="I85" s="540"/>
      <c r="J85" s="540"/>
      <c r="K85" s="540"/>
      <c r="L85" s="540"/>
      <c r="M85" s="540"/>
      <c r="N85" s="540"/>
      <c r="O85" s="540"/>
      <c r="P85" s="540"/>
      <c r="Q85" s="540"/>
      <c r="R85" s="540"/>
      <c r="S85" s="540"/>
      <c r="T85" s="540"/>
      <c r="U85" s="540"/>
      <c r="V85" s="540"/>
    </row>
    <row r="86" spans="1:22" s="76" customFormat="1" ht="25.5" customHeight="1">
      <c r="A86" s="540" t="s">
        <v>119</v>
      </c>
      <c r="B86" s="540"/>
      <c r="C86" s="540"/>
      <c r="D86" s="540"/>
      <c r="E86" s="540"/>
      <c r="F86" s="540"/>
      <c r="G86" s="540"/>
      <c r="H86" s="540"/>
      <c r="I86" s="540"/>
      <c r="J86" s="540"/>
      <c r="K86" s="540"/>
      <c r="L86" s="540"/>
      <c r="M86" s="540"/>
      <c r="N86" s="540"/>
      <c r="O86" s="540"/>
      <c r="P86" s="540"/>
      <c r="Q86" s="540"/>
      <c r="R86" s="540"/>
      <c r="S86" s="540"/>
      <c r="T86" s="540"/>
      <c r="U86" s="540"/>
      <c r="V86" s="540"/>
    </row>
    <row r="87" spans="1:22" s="76" customFormat="1" ht="23.25" customHeight="1">
      <c r="A87" s="540" t="s">
        <v>100</v>
      </c>
      <c r="B87" s="540"/>
      <c r="C87" s="540"/>
      <c r="D87" s="540"/>
      <c r="E87" s="540"/>
      <c r="F87" s="540"/>
      <c r="G87" s="540"/>
      <c r="H87" s="540"/>
      <c r="I87" s="540"/>
      <c r="J87" s="540"/>
      <c r="K87" s="540"/>
      <c r="L87" s="540"/>
      <c r="M87" s="540"/>
      <c r="N87" s="540"/>
      <c r="O87" s="540"/>
      <c r="P87" s="540"/>
      <c r="Q87" s="540"/>
      <c r="R87" s="540"/>
      <c r="S87" s="540"/>
      <c r="T87" s="540"/>
      <c r="U87" s="540"/>
      <c r="V87" s="540"/>
    </row>
    <row r="88" spans="1:22" s="76" customFormat="1" ht="33.75" customHeight="1">
      <c r="A88" s="539" t="s">
        <v>120</v>
      </c>
      <c r="B88" s="539"/>
      <c r="C88" s="539"/>
      <c r="D88" s="539"/>
      <c r="E88" s="539"/>
      <c r="F88" s="539"/>
      <c r="G88" s="539"/>
      <c r="H88" s="539"/>
      <c r="I88" s="539"/>
      <c r="J88" s="539"/>
      <c r="K88" s="539"/>
      <c r="L88" s="539"/>
      <c r="M88" s="539"/>
      <c r="N88" s="539"/>
      <c r="O88" s="539"/>
      <c r="P88" s="539"/>
      <c r="Q88" s="539"/>
      <c r="R88" s="539"/>
      <c r="S88" s="539"/>
      <c r="T88" s="539"/>
      <c r="U88" s="539"/>
      <c r="V88" s="539"/>
    </row>
    <row r="89" spans="1:22" s="76" customFormat="1" ht="21" customHeight="1">
      <c r="A89" s="540" t="s">
        <v>121</v>
      </c>
      <c r="B89" s="540"/>
      <c r="C89" s="540"/>
      <c r="D89" s="540"/>
      <c r="E89" s="540"/>
      <c r="F89" s="540"/>
      <c r="G89" s="540"/>
      <c r="H89" s="540"/>
      <c r="I89" s="540"/>
      <c r="J89" s="540"/>
      <c r="K89" s="540"/>
      <c r="L89" s="540"/>
      <c r="M89" s="540"/>
      <c r="N89" s="540"/>
      <c r="O89" s="540"/>
      <c r="P89" s="540"/>
      <c r="Q89" s="540"/>
      <c r="R89" s="540"/>
      <c r="S89" s="540"/>
      <c r="T89" s="540"/>
      <c r="U89" s="540"/>
      <c r="V89" s="540"/>
    </row>
    <row r="90" spans="1:22" s="76" customFormat="1" ht="74.25" customHeight="1">
      <c r="A90" s="539" t="s">
        <v>101</v>
      </c>
      <c r="B90" s="539"/>
      <c r="C90" s="539"/>
      <c r="D90" s="539"/>
      <c r="E90" s="539"/>
      <c r="F90" s="539"/>
      <c r="G90" s="539"/>
      <c r="H90" s="539"/>
      <c r="I90" s="539"/>
      <c r="J90" s="539"/>
      <c r="K90" s="539"/>
      <c r="L90" s="539"/>
      <c r="M90" s="539"/>
      <c r="N90" s="539"/>
      <c r="O90" s="539"/>
      <c r="P90" s="539"/>
      <c r="Q90" s="539"/>
      <c r="R90" s="539"/>
      <c r="S90" s="539"/>
      <c r="T90" s="539"/>
      <c r="U90" s="539"/>
      <c r="V90" s="539"/>
    </row>
    <row r="91" spans="1:22" s="76" customFormat="1">
      <c r="A91" s="520"/>
      <c r="C91" s="78"/>
      <c r="E91" s="79"/>
      <c r="F91" s="80"/>
      <c r="G91" s="80"/>
      <c r="H91" s="80"/>
      <c r="I91" s="80"/>
      <c r="J91" s="80"/>
      <c r="K91" s="80"/>
      <c r="L91" s="80"/>
      <c r="M91" s="80"/>
      <c r="N91" s="80"/>
      <c r="O91" s="80"/>
      <c r="P91" s="80"/>
      <c r="Q91" s="80"/>
      <c r="R91" s="80"/>
      <c r="S91" s="80"/>
      <c r="T91" s="81"/>
      <c r="V91" s="82"/>
    </row>
    <row r="92" spans="1:22" s="76" customFormat="1">
      <c r="A92" s="520"/>
      <c r="C92" s="78"/>
      <c r="E92" s="79"/>
      <c r="F92" s="80"/>
      <c r="G92" s="80"/>
      <c r="H92" s="80"/>
      <c r="I92" s="80"/>
      <c r="J92" s="80"/>
      <c r="K92" s="80"/>
      <c r="L92" s="80"/>
      <c r="M92" s="80"/>
      <c r="N92" s="80"/>
      <c r="O92" s="80"/>
      <c r="P92" s="80"/>
      <c r="Q92" s="80"/>
      <c r="R92" s="80"/>
      <c r="S92" s="80"/>
      <c r="T92" s="81"/>
      <c r="V92" s="82"/>
    </row>
    <row r="93" spans="1:22" s="76" customFormat="1">
      <c r="A93" s="520"/>
      <c r="C93" s="78"/>
      <c r="E93" s="79"/>
      <c r="F93" s="80"/>
      <c r="G93" s="80"/>
      <c r="H93" s="80"/>
      <c r="I93" s="80"/>
      <c r="J93" s="80"/>
      <c r="K93" s="80"/>
      <c r="L93" s="80"/>
      <c r="M93" s="80"/>
      <c r="N93" s="80"/>
      <c r="O93" s="80"/>
      <c r="P93" s="80"/>
      <c r="Q93" s="80"/>
      <c r="R93" s="80"/>
      <c r="S93" s="80"/>
      <c r="T93" s="81"/>
      <c r="V93" s="82"/>
    </row>
    <row r="94" spans="1:22" s="76" customFormat="1">
      <c r="A94" s="520"/>
      <c r="C94" s="78"/>
      <c r="E94" s="79"/>
      <c r="F94" s="80"/>
      <c r="G94" s="80"/>
      <c r="H94" s="80"/>
      <c r="I94" s="80"/>
      <c r="J94" s="80"/>
      <c r="K94" s="80"/>
      <c r="L94" s="80"/>
      <c r="M94" s="80"/>
      <c r="N94" s="80"/>
      <c r="O94" s="80"/>
      <c r="P94" s="80"/>
      <c r="Q94" s="80"/>
      <c r="R94" s="80"/>
      <c r="S94" s="80"/>
      <c r="T94" s="81"/>
      <c r="V94" s="82"/>
    </row>
    <row r="95" spans="1:22" s="76" customFormat="1">
      <c r="A95" s="520"/>
      <c r="C95" s="78"/>
      <c r="E95" s="79"/>
      <c r="F95" s="80"/>
      <c r="G95" s="80"/>
      <c r="H95" s="80"/>
      <c r="I95" s="80"/>
      <c r="J95" s="80"/>
      <c r="K95" s="80"/>
      <c r="L95" s="80"/>
      <c r="M95" s="80"/>
      <c r="N95" s="80"/>
      <c r="O95" s="80"/>
      <c r="P95" s="80"/>
      <c r="Q95" s="80"/>
      <c r="R95" s="80"/>
      <c r="S95" s="80"/>
      <c r="T95" s="81"/>
      <c r="V95" s="82"/>
    </row>
    <row r="96" spans="1:22" s="76" customFormat="1">
      <c r="A96" s="520"/>
      <c r="C96" s="78"/>
      <c r="E96" s="79"/>
      <c r="F96" s="80"/>
      <c r="G96" s="80"/>
      <c r="H96" s="80"/>
      <c r="I96" s="80"/>
      <c r="J96" s="80"/>
      <c r="K96" s="80"/>
      <c r="L96" s="80"/>
      <c r="M96" s="80"/>
      <c r="N96" s="80"/>
      <c r="O96" s="80"/>
      <c r="P96" s="80"/>
      <c r="Q96" s="80"/>
      <c r="R96" s="80"/>
      <c r="S96" s="80"/>
      <c r="T96" s="81"/>
      <c r="V96" s="82"/>
    </row>
    <row r="97" spans="1:64" s="76" customFormat="1">
      <c r="A97" s="520"/>
      <c r="C97" s="78"/>
      <c r="E97" s="79"/>
      <c r="F97" s="80"/>
      <c r="G97" s="80"/>
      <c r="H97" s="80"/>
      <c r="I97" s="80"/>
      <c r="J97" s="80"/>
      <c r="K97" s="80"/>
      <c r="L97" s="80"/>
      <c r="M97" s="80"/>
      <c r="N97" s="80"/>
      <c r="O97" s="80"/>
      <c r="P97" s="80"/>
      <c r="Q97" s="80"/>
      <c r="R97" s="80"/>
      <c r="S97" s="80"/>
      <c r="T97" s="81"/>
      <c r="V97" s="82"/>
    </row>
    <row r="98" spans="1:64" s="76" customFormat="1">
      <c r="A98" s="520"/>
      <c r="C98" s="78"/>
      <c r="E98" s="79"/>
      <c r="F98" s="80"/>
      <c r="G98" s="80"/>
      <c r="H98" s="80"/>
      <c r="I98" s="80"/>
      <c r="J98" s="80"/>
      <c r="K98" s="80"/>
      <c r="L98" s="80"/>
      <c r="M98" s="80"/>
      <c r="N98" s="80"/>
      <c r="O98" s="80"/>
      <c r="P98" s="80"/>
      <c r="Q98" s="80"/>
      <c r="R98" s="80"/>
      <c r="S98" s="80"/>
      <c r="T98" s="81"/>
      <c r="V98" s="82"/>
    </row>
    <row r="99" spans="1:64" s="76" customFormat="1">
      <c r="A99" s="520"/>
      <c r="C99" s="78"/>
      <c r="E99" s="79"/>
      <c r="F99" s="80"/>
      <c r="G99" s="80"/>
      <c r="H99" s="80"/>
      <c r="I99" s="80"/>
      <c r="J99" s="80"/>
      <c r="K99" s="80"/>
      <c r="L99" s="80"/>
      <c r="M99" s="80"/>
      <c r="N99" s="80"/>
      <c r="O99" s="80"/>
      <c r="P99" s="80"/>
      <c r="Q99" s="80"/>
      <c r="R99" s="80"/>
      <c r="S99" s="80"/>
      <c r="T99" s="81"/>
      <c r="V99" s="82"/>
    </row>
    <row r="100" spans="1:64" s="76" customFormat="1">
      <c r="A100" s="520"/>
      <c r="C100" s="78"/>
      <c r="E100" s="79"/>
      <c r="F100" s="80"/>
      <c r="G100" s="80"/>
      <c r="H100" s="80"/>
      <c r="I100" s="80"/>
      <c r="J100" s="80"/>
      <c r="K100" s="80"/>
      <c r="L100" s="80"/>
      <c r="M100" s="80"/>
      <c r="N100" s="80"/>
      <c r="O100" s="80"/>
      <c r="P100" s="80"/>
      <c r="Q100" s="80"/>
      <c r="R100" s="80"/>
      <c r="S100" s="80"/>
      <c r="T100" s="81"/>
      <c r="V100" s="82"/>
    </row>
    <row r="101" spans="1:64" s="76" customFormat="1">
      <c r="A101" s="520"/>
      <c r="C101" s="78"/>
      <c r="E101" s="79"/>
      <c r="F101" s="80"/>
      <c r="G101" s="80"/>
      <c r="H101" s="80"/>
      <c r="I101" s="80"/>
      <c r="J101" s="80"/>
      <c r="K101" s="80"/>
      <c r="L101" s="80"/>
      <c r="M101" s="80"/>
      <c r="N101" s="80"/>
      <c r="O101" s="80"/>
      <c r="P101" s="80"/>
      <c r="Q101" s="80"/>
      <c r="R101" s="80"/>
      <c r="S101" s="80"/>
      <c r="T101" s="81"/>
      <c r="V101" s="82"/>
    </row>
    <row r="102" spans="1:64" s="76" customFormat="1">
      <c r="A102" s="520"/>
      <c r="C102" s="78"/>
      <c r="E102" s="79"/>
      <c r="F102" s="80"/>
      <c r="G102" s="80"/>
      <c r="H102" s="80"/>
      <c r="I102" s="80"/>
      <c r="J102" s="80"/>
      <c r="K102" s="80"/>
      <c r="L102" s="80"/>
      <c r="M102" s="80"/>
      <c r="N102" s="80"/>
      <c r="O102" s="80"/>
      <c r="P102" s="80"/>
      <c r="Q102" s="80"/>
      <c r="R102" s="80"/>
      <c r="S102" s="80"/>
      <c r="T102" s="81"/>
      <c r="V102" s="82"/>
    </row>
    <row r="103" spans="1:64" s="76" customFormat="1">
      <c r="A103" s="520"/>
      <c r="C103" s="78"/>
      <c r="E103" s="79"/>
      <c r="F103" s="80"/>
      <c r="G103" s="80"/>
      <c r="H103" s="80"/>
      <c r="I103" s="80"/>
      <c r="J103" s="80"/>
      <c r="K103" s="80"/>
      <c r="L103" s="80"/>
      <c r="M103" s="80"/>
      <c r="N103" s="80"/>
      <c r="O103" s="80"/>
      <c r="P103" s="80"/>
      <c r="Q103" s="80"/>
      <c r="R103" s="80"/>
      <c r="S103" s="80"/>
      <c r="T103" s="81"/>
      <c r="V103" s="82"/>
    </row>
    <row r="104" spans="1:64" s="76" customFormat="1">
      <c r="A104" s="520"/>
      <c r="C104" s="78"/>
      <c r="E104" s="79"/>
      <c r="F104" s="80"/>
      <c r="G104" s="80"/>
      <c r="H104" s="80"/>
      <c r="I104" s="80"/>
      <c r="J104" s="80"/>
      <c r="K104" s="80"/>
      <c r="L104" s="80"/>
      <c r="M104" s="80"/>
      <c r="N104" s="80"/>
      <c r="O104" s="80"/>
      <c r="P104" s="80"/>
      <c r="Q104" s="80"/>
      <c r="R104" s="80"/>
      <c r="S104" s="80"/>
      <c r="T104" s="81"/>
      <c r="V104" s="82"/>
    </row>
    <row r="105" spans="1:64" s="76" customFormat="1">
      <c r="A105" s="520"/>
      <c r="C105" s="78"/>
      <c r="E105" s="79"/>
      <c r="F105" s="80"/>
      <c r="G105" s="80"/>
      <c r="H105" s="80"/>
      <c r="I105" s="80"/>
      <c r="J105" s="80"/>
      <c r="K105" s="80"/>
      <c r="L105" s="80"/>
      <c r="M105" s="80"/>
      <c r="N105" s="80"/>
      <c r="O105" s="80"/>
      <c r="P105" s="80"/>
      <c r="Q105" s="80"/>
      <c r="R105" s="80"/>
      <c r="S105" s="80"/>
      <c r="T105" s="81"/>
      <c r="V105" s="82"/>
    </row>
    <row r="112" spans="1:64">
      <c r="A112" s="522"/>
      <c r="B112" s="69"/>
      <c r="C112" s="528"/>
      <c r="D112" s="70"/>
      <c r="E112" s="74"/>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row>
    <row r="113" spans="1:64">
      <c r="A113" s="523"/>
      <c r="B113" s="70"/>
      <c r="C113" s="528"/>
      <c r="D113" s="70"/>
      <c r="E113" s="74"/>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row>
  </sheetData>
  <mergeCells count="39">
    <mergeCell ref="A77:V77"/>
    <mergeCell ref="A89:V89"/>
    <mergeCell ref="A90:V90"/>
    <mergeCell ref="A84:V84"/>
    <mergeCell ref="A85:V85"/>
    <mergeCell ref="A86:V86"/>
    <mergeCell ref="A87:V87"/>
    <mergeCell ref="A65:V65"/>
    <mergeCell ref="A66:V66"/>
    <mergeCell ref="A67:V67"/>
    <mergeCell ref="A69:V69"/>
    <mergeCell ref="A88:V88"/>
    <mergeCell ref="A83:V83"/>
    <mergeCell ref="A72:V72"/>
    <mergeCell ref="A73:V73"/>
    <mergeCell ref="A74:V74"/>
    <mergeCell ref="A75:V75"/>
    <mergeCell ref="A76:V76"/>
    <mergeCell ref="A78:V78"/>
    <mergeCell ref="A79:V79"/>
    <mergeCell ref="A80:V80"/>
    <mergeCell ref="A81:V81"/>
    <mergeCell ref="A82:V82"/>
    <mergeCell ref="A71:V71"/>
    <mergeCell ref="F3:G3"/>
    <mergeCell ref="I3:J3"/>
    <mergeCell ref="L3:M3"/>
    <mergeCell ref="O3:P3"/>
    <mergeCell ref="R3:S3"/>
    <mergeCell ref="A70:V70"/>
    <mergeCell ref="A60:V60"/>
    <mergeCell ref="A61:V61"/>
    <mergeCell ref="A46:V46"/>
    <mergeCell ref="A47:V47"/>
    <mergeCell ref="A48:V48"/>
    <mergeCell ref="A49:V49"/>
    <mergeCell ref="A68:V68"/>
    <mergeCell ref="A63:V63"/>
    <mergeCell ref="A64:V64"/>
  </mergeCells>
  <printOptions horizontalCentered="1" gridLines="1"/>
  <pageMargins left="0.19685039370078741" right="0.19685039370078741" top="0.19685039370078741" bottom="0.19685039370078741" header="0.15748031496062992" footer="0.23622047244094491"/>
  <pageSetup paperSize="9" scale="71" fitToHeight="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BL112"/>
  <sheetViews>
    <sheetView zoomScaleNormal="100" workbookViewId="0"/>
  </sheetViews>
  <sheetFormatPr defaultRowHeight="12.75"/>
  <cols>
    <col min="1" max="1" width="18.7109375" style="501" customWidth="1"/>
    <col min="2" max="2" width="9.5703125" style="40" bestFit="1" customWidth="1"/>
    <col min="3" max="3" width="12.7109375" style="30" customWidth="1"/>
    <col min="4" max="4" width="12.7109375" style="40" customWidth="1"/>
    <col min="5" max="5" width="8.7109375" style="60" customWidth="1"/>
    <col min="6" max="7" width="12.7109375" style="71" customWidth="1"/>
    <col min="8" max="8" width="8.7109375" style="71" customWidth="1"/>
    <col min="9" max="10" width="12.7109375" style="71" customWidth="1"/>
    <col min="11" max="11" width="8.7109375" style="71" customWidth="1"/>
    <col min="12" max="13" width="12.7109375" style="71" customWidth="1"/>
    <col min="14" max="14" width="8.7109375" style="71" customWidth="1"/>
    <col min="15" max="16" width="12.7109375" style="71" customWidth="1"/>
    <col min="17" max="17" width="8.7109375" style="71" customWidth="1"/>
    <col min="18" max="19" width="12.7109375" style="71" customWidth="1"/>
    <col min="20" max="20" width="12.7109375" style="72" customWidth="1"/>
    <col min="21" max="21" width="5" style="40" bestFit="1" customWidth="1"/>
    <col min="22" max="22" width="15.42578125" style="73" customWidth="1"/>
    <col min="23" max="23" width="12.7109375" style="40" hidden="1" customWidth="1"/>
    <col min="24" max="37" width="12.7109375" style="40" customWidth="1"/>
    <col min="38" max="16384" width="9.140625" style="40"/>
  </cols>
  <sheetData>
    <row r="1" spans="1:23" s="41" customFormat="1" ht="30" customHeight="1">
      <c r="A1" s="514" t="s">
        <v>104</v>
      </c>
      <c r="B1" s="44"/>
      <c r="C1" s="508"/>
      <c r="D1" s="45"/>
      <c r="E1" s="46"/>
      <c r="F1" s="47"/>
      <c r="G1" s="47"/>
      <c r="H1" s="47"/>
      <c r="I1" s="47"/>
      <c r="J1" s="47"/>
      <c r="K1" s="47"/>
      <c r="L1" s="47"/>
      <c r="M1" s="47"/>
      <c r="N1" s="47"/>
      <c r="O1" s="47"/>
      <c r="P1" s="47"/>
      <c r="Q1" s="47"/>
      <c r="R1" s="47"/>
      <c r="S1" s="47"/>
      <c r="T1" s="45"/>
      <c r="U1" s="45"/>
      <c r="V1" s="48"/>
    </row>
    <row r="2" spans="1:23" s="41" customFormat="1" ht="30" customHeight="1">
      <c r="A2" s="514" t="s">
        <v>103</v>
      </c>
      <c r="B2" s="44"/>
      <c r="C2" s="508"/>
      <c r="D2" s="45"/>
      <c r="E2" s="46"/>
      <c r="F2" s="47"/>
      <c r="G2" s="47"/>
      <c r="H2" s="47"/>
      <c r="I2" s="47"/>
      <c r="J2" s="47"/>
      <c r="K2" s="47"/>
      <c r="L2" s="47"/>
      <c r="M2" s="47"/>
      <c r="N2" s="47"/>
      <c r="O2" s="47"/>
      <c r="P2" s="47"/>
      <c r="Q2" s="47"/>
      <c r="R2" s="47"/>
      <c r="S2" s="47"/>
      <c r="T2" s="45"/>
      <c r="U2" s="45"/>
      <c r="V2" s="48"/>
    </row>
    <row r="3" spans="1:23" s="41" customFormat="1" ht="30" customHeight="1">
      <c r="A3" s="514"/>
      <c r="B3" s="44"/>
      <c r="C3" s="508"/>
      <c r="D3" s="45"/>
      <c r="E3" s="46"/>
      <c r="F3" s="536" t="s">
        <v>248</v>
      </c>
      <c r="G3" s="537"/>
      <c r="H3" s="47"/>
      <c r="I3" s="536" t="s">
        <v>248</v>
      </c>
      <c r="J3" s="537"/>
      <c r="K3" s="47"/>
      <c r="L3" s="536" t="s">
        <v>248</v>
      </c>
      <c r="M3" s="537"/>
      <c r="N3" s="47"/>
      <c r="O3" s="536" t="s">
        <v>248</v>
      </c>
      <c r="P3" s="537"/>
      <c r="Q3" s="47"/>
      <c r="R3" s="536" t="s">
        <v>248</v>
      </c>
      <c r="S3" s="537"/>
      <c r="T3" s="45"/>
      <c r="U3" s="45"/>
      <c r="V3" s="48"/>
    </row>
    <row r="4" spans="1:23" ht="48.75" customHeight="1">
      <c r="A4" s="515" t="s">
        <v>3</v>
      </c>
      <c r="B4" s="209" t="s">
        <v>231</v>
      </c>
      <c r="C4" s="264" t="s">
        <v>1</v>
      </c>
      <c r="D4" s="251"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75" customHeight="1">
      <c r="A5" s="244" t="s">
        <v>33</v>
      </c>
      <c r="B5" s="274">
        <v>0</v>
      </c>
      <c r="C5" s="277" t="s">
        <v>250</v>
      </c>
      <c r="D5" s="275" t="s">
        <v>5</v>
      </c>
      <c r="E5" s="204" t="s">
        <v>5</v>
      </c>
      <c r="F5" s="216" t="s">
        <v>5</v>
      </c>
      <c r="G5" s="217" t="s">
        <v>5</v>
      </c>
      <c r="H5" s="205"/>
      <c r="I5" s="216"/>
      <c r="J5" s="217"/>
      <c r="K5" s="205"/>
      <c r="L5" s="216"/>
      <c r="M5" s="217"/>
      <c r="N5" s="205"/>
      <c r="O5" s="216"/>
      <c r="P5" s="217"/>
      <c r="Q5" s="205"/>
      <c r="R5" s="216"/>
      <c r="S5" s="217"/>
      <c r="T5" s="206" t="s">
        <v>5</v>
      </c>
      <c r="U5" s="270" t="s">
        <v>5</v>
      </c>
      <c r="V5" s="271" t="s">
        <v>5</v>
      </c>
      <c r="W5" s="40" t="str">
        <f>IF(U5="TY","A",IF(U5="TY/TYs","AB",IF(U5="TYs", "B",IF(U5="TC","C",IF(U5="-","",)))))</f>
        <v/>
      </c>
    </row>
    <row r="6" spans="1:23" ht="15.75" customHeight="1">
      <c r="A6" s="235" t="s">
        <v>50</v>
      </c>
      <c r="B6" s="253">
        <v>1</v>
      </c>
      <c r="C6" s="266" t="s">
        <v>7</v>
      </c>
      <c r="D6" s="254" t="s">
        <v>5</v>
      </c>
      <c r="E6" s="143">
        <v>0</v>
      </c>
      <c r="F6" s="133">
        <v>0</v>
      </c>
      <c r="G6" s="134">
        <f>14*395.31</f>
        <v>5534.34</v>
      </c>
      <c r="H6" s="143">
        <f>((0.0395+0.1025)*100)+(0.5+0.5)*6/7</f>
        <v>15.057142857142857</v>
      </c>
      <c r="I6" s="133">
        <f>G6</f>
        <v>5534.34</v>
      </c>
      <c r="J6" s="134">
        <f>1246*14</f>
        <v>17444</v>
      </c>
      <c r="K6" s="143">
        <f>((0.0395+0.1025)*100)+(0.5+0.5)*6/7+1</f>
        <v>16.057142857142857</v>
      </c>
      <c r="L6" s="133">
        <f>J6</f>
        <v>17444</v>
      </c>
      <c r="M6" s="134">
        <f>1359*14</f>
        <v>19026</v>
      </c>
      <c r="N6" s="143">
        <f>((0.0395+0.1025)*100)+(0.5+0.5)*6/7+2</f>
        <v>17.057142857142857</v>
      </c>
      <c r="O6" s="133">
        <f>M6</f>
        <v>19026</v>
      </c>
      <c r="P6" s="134">
        <f>1530*14</f>
        <v>21420</v>
      </c>
      <c r="Q6" s="143">
        <f>((0.0395+0.1025)*100)+(0.5+0.5)*6/7+3</f>
        <v>18.057142857142857</v>
      </c>
      <c r="R6" s="133">
        <f>P6</f>
        <v>21420</v>
      </c>
      <c r="S6" s="134">
        <f>4530*14</f>
        <v>63420</v>
      </c>
      <c r="T6" s="189">
        <f>S6*Q6/100</f>
        <v>11451.84</v>
      </c>
      <c r="U6" s="62" t="s">
        <v>6</v>
      </c>
      <c r="V6" s="236">
        <v>100</v>
      </c>
      <c r="W6" s="40" t="str">
        <f t="shared" ref="W6:W47" si="0">IF(U6="TY","A",IF(U6="TY/TYs","AB",IF(U6="TYs", "B",IF(U6="TC","C",IF(U6="-","",)))))</f>
        <v>A</v>
      </c>
    </row>
    <row r="7" spans="1:23" ht="15.75" customHeight="1">
      <c r="A7" s="235" t="s">
        <v>26</v>
      </c>
      <c r="B7" s="253">
        <v>1</v>
      </c>
      <c r="C7" s="267" t="s">
        <v>7</v>
      </c>
      <c r="D7" s="254" t="s">
        <v>5</v>
      </c>
      <c r="E7" s="143">
        <f>0.87+1.15+3.55+7.5</f>
        <v>13.07</v>
      </c>
      <c r="F7" s="218" t="s">
        <v>5</v>
      </c>
      <c r="G7" s="142" t="s">
        <v>5</v>
      </c>
      <c r="H7" s="121" t="s">
        <v>5</v>
      </c>
      <c r="I7" s="218" t="s">
        <v>5</v>
      </c>
      <c r="J7" s="142" t="s">
        <v>5</v>
      </c>
      <c r="K7" s="121" t="s">
        <v>5</v>
      </c>
      <c r="L7" s="218" t="s">
        <v>5</v>
      </c>
      <c r="M7" s="142" t="s">
        <v>5</v>
      </c>
      <c r="N7" s="121" t="s">
        <v>5</v>
      </c>
      <c r="O7" s="218" t="s">
        <v>5</v>
      </c>
      <c r="P7" s="142" t="s">
        <v>5</v>
      </c>
      <c r="Q7" s="121" t="s">
        <v>5</v>
      </c>
      <c r="R7" s="218" t="s">
        <v>5</v>
      </c>
      <c r="S7" s="142" t="s">
        <v>5</v>
      </c>
      <c r="T7" s="188" t="s">
        <v>5</v>
      </c>
      <c r="U7" s="62" t="s">
        <v>6</v>
      </c>
      <c r="V7" s="236">
        <v>100</v>
      </c>
      <c r="W7" s="40" t="str">
        <f t="shared" si="0"/>
        <v>A</v>
      </c>
    </row>
    <row r="8" spans="1:23" ht="15.75" customHeight="1">
      <c r="A8" s="235" t="s">
        <v>49</v>
      </c>
      <c r="B8" s="253">
        <v>1</v>
      </c>
      <c r="C8" s="267" t="s">
        <v>8</v>
      </c>
      <c r="D8" s="254" t="s">
        <v>5</v>
      </c>
      <c r="E8" s="143">
        <v>1.88</v>
      </c>
      <c r="F8" s="133">
        <v>0</v>
      </c>
      <c r="G8" s="134">
        <v>3500</v>
      </c>
      <c r="H8" s="143">
        <f>4.95+E8</f>
        <v>6.83</v>
      </c>
      <c r="I8" s="133">
        <f>G8</f>
        <v>3500</v>
      </c>
      <c r="J8" s="134">
        <f>891.12/0.0188</f>
        <v>47400</v>
      </c>
      <c r="K8" s="143">
        <v>4.95</v>
      </c>
      <c r="L8" s="133">
        <f>J8</f>
        <v>47400</v>
      </c>
      <c r="M8" s="134">
        <f>(2356.2/0.0495)+3500</f>
        <v>51099.999999999993</v>
      </c>
      <c r="N8" s="120" t="s">
        <v>5</v>
      </c>
      <c r="O8" s="219" t="s">
        <v>5</v>
      </c>
      <c r="P8" s="180" t="s">
        <v>5</v>
      </c>
      <c r="Q8" s="120" t="s">
        <v>5</v>
      </c>
      <c r="R8" s="219" t="s">
        <v>5</v>
      </c>
      <c r="S8" s="180" t="s">
        <v>5</v>
      </c>
      <c r="T8" s="189">
        <f>(G8-F8)*E8/100 + (J8-I8)*H8/100 + (M8-L8)*K8/100</f>
        <v>3247.3199999999997</v>
      </c>
      <c r="U8" s="67" t="s">
        <v>5</v>
      </c>
      <c r="V8" s="237" t="s">
        <v>5</v>
      </c>
      <c r="W8" s="40" t="str">
        <f t="shared" si="0"/>
        <v/>
      </c>
    </row>
    <row r="9" spans="1:23" ht="15.75" customHeight="1">
      <c r="A9" s="235" t="s">
        <v>66</v>
      </c>
      <c r="B9" s="253">
        <v>1</v>
      </c>
      <c r="C9" s="267" t="s">
        <v>7</v>
      </c>
      <c r="D9" s="254" t="s">
        <v>5</v>
      </c>
      <c r="E9" s="143">
        <f>0.07*100</f>
        <v>7.0000000000000009</v>
      </c>
      <c r="F9" s="133">
        <v>0</v>
      </c>
      <c r="G9" s="134">
        <f>19403272/12</f>
        <v>1616939.3333333333</v>
      </c>
      <c r="H9" s="120" t="s">
        <v>5</v>
      </c>
      <c r="I9" s="219" t="s">
        <v>5</v>
      </c>
      <c r="J9" s="180" t="s">
        <v>5</v>
      </c>
      <c r="K9" s="120" t="s">
        <v>5</v>
      </c>
      <c r="L9" s="219" t="s">
        <v>5</v>
      </c>
      <c r="M9" s="180" t="s">
        <v>5</v>
      </c>
      <c r="N9" s="120" t="s">
        <v>5</v>
      </c>
      <c r="O9" s="219" t="s">
        <v>5</v>
      </c>
      <c r="P9" s="180" t="s">
        <v>5</v>
      </c>
      <c r="Q9" s="120" t="s">
        <v>5</v>
      </c>
      <c r="R9" s="219" t="s">
        <v>5</v>
      </c>
      <c r="S9" s="180" t="s">
        <v>5</v>
      </c>
      <c r="T9" s="189">
        <f>+E9/100*G9</f>
        <v>113185.75333333334</v>
      </c>
      <c r="U9" s="62" t="s">
        <v>5</v>
      </c>
      <c r="V9" s="236" t="s">
        <v>5</v>
      </c>
      <c r="W9" s="40" t="str">
        <f t="shared" si="0"/>
        <v/>
      </c>
    </row>
    <row r="10" spans="1:23" ht="15.75" customHeight="1">
      <c r="A10" s="235" t="s">
        <v>22</v>
      </c>
      <c r="B10" s="253">
        <v>1</v>
      </c>
      <c r="C10" s="266" t="s">
        <v>7</v>
      </c>
      <c r="D10" s="255" t="s">
        <v>5</v>
      </c>
      <c r="E10" s="135">
        <f>0.045*100</f>
        <v>4.5</v>
      </c>
      <c r="F10" s="133" t="s">
        <v>5</v>
      </c>
      <c r="G10" s="180" t="s">
        <v>5</v>
      </c>
      <c r="H10" s="120" t="s">
        <v>5</v>
      </c>
      <c r="I10" s="219" t="s">
        <v>5</v>
      </c>
      <c r="J10" s="180" t="s">
        <v>5</v>
      </c>
      <c r="K10" s="120" t="s">
        <v>5</v>
      </c>
      <c r="L10" s="219" t="s">
        <v>5</v>
      </c>
      <c r="M10" s="180" t="s">
        <v>5</v>
      </c>
      <c r="N10" s="120" t="s">
        <v>5</v>
      </c>
      <c r="O10" s="219" t="s">
        <v>5</v>
      </c>
      <c r="P10" s="180" t="s">
        <v>5</v>
      </c>
      <c r="Q10" s="120" t="s">
        <v>5</v>
      </c>
      <c r="R10" s="219" t="s">
        <v>5</v>
      </c>
      <c r="S10" s="180" t="s">
        <v>5</v>
      </c>
      <c r="T10" s="188" t="s">
        <v>5</v>
      </c>
      <c r="U10" s="61" t="s">
        <v>5</v>
      </c>
      <c r="V10" s="238" t="s">
        <v>5</v>
      </c>
      <c r="W10" s="40" t="str">
        <f t="shared" si="0"/>
        <v/>
      </c>
    </row>
    <row r="11" spans="1:23" ht="15.75" customHeight="1">
      <c r="A11" s="235" t="s">
        <v>22</v>
      </c>
      <c r="B11" s="253">
        <v>2</v>
      </c>
      <c r="C11" s="266" t="s">
        <v>7</v>
      </c>
      <c r="D11" s="255" t="s">
        <v>5</v>
      </c>
      <c r="E11" s="135">
        <f>0.065*100</f>
        <v>6.5</v>
      </c>
      <c r="F11" s="133">
        <v>0</v>
      </c>
      <c r="G11" s="134">
        <f>1242432/12</f>
        <v>103536</v>
      </c>
      <c r="H11" s="120" t="s">
        <v>5</v>
      </c>
      <c r="I11" s="219" t="s">
        <v>5</v>
      </c>
      <c r="J11" s="180" t="s">
        <v>5</v>
      </c>
      <c r="K11" s="120" t="s">
        <v>5</v>
      </c>
      <c r="L11" s="219" t="s">
        <v>5</v>
      </c>
      <c r="M11" s="180" t="s">
        <v>5</v>
      </c>
      <c r="N11" s="120" t="s">
        <v>5</v>
      </c>
      <c r="O11" s="219" t="s">
        <v>5</v>
      </c>
      <c r="P11" s="180" t="s">
        <v>5</v>
      </c>
      <c r="Q11" s="120" t="s">
        <v>5</v>
      </c>
      <c r="R11" s="219" t="s">
        <v>5</v>
      </c>
      <c r="S11" s="180" t="s">
        <v>5</v>
      </c>
      <c r="T11" s="189">
        <f>G11*(E11/100)</f>
        <v>6729.84</v>
      </c>
      <c r="U11" s="61" t="s">
        <v>5</v>
      </c>
      <c r="V11" s="238" t="s">
        <v>5</v>
      </c>
      <c r="W11" s="40" t="str">
        <f t="shared" si="0"/>
        <v/>
      </c>
    </row>
    <row r="12" spans="1:23" ht="15.75" customHeight="1">
      <c r="A12" s="235" t="s">
        <v>67</v>
      </c>
      <c r="B12" s="253">
        <v>1</v>
      </c>
      <c r="C12" s="267" t="s">
        <v>8</v>
      </c>
      <c r="D12" s="256">
        <v>1080</v>
      </c>
      <c r="E12" s="207" t="s">
        <v>5</v>
      </c>
      <c r="F12" s="219" t="s">
        <v>5</v>
      </c>
      <c r="G12" s="142" t="s">
        <v>5</v>
      </c>
      <c r="H12" s="121" t="s">
        <v>5</v>
      </c>
      <c r="I12" s="218" t="s">
        <v>5</v>
      </c>
      <c r="J12" s="142" t="s">
        <v>5</v>
      </c>
      <c r="K12" s="121" t="s">
        <v>5</v>
      </c>
      <c r="L12" s="218" t="s">
        <v>5</v>
      </c>
      <c r="M12" s="142" t="s">
        <v>5</v>
      </c>
      <c r="N12" s="121" t="s">
        <v>5</v>
      </c>
      <c r="O12" s="218" t="s">
        <v>5</v>
      </c>
      <c r="P12" s="142" t="s">
        <v>5</v>
      </c>
      <c r="Q12" s="121" t="s">
        <v>5</v>
      </c>
      <c r="R12" s="218" t="s">
        <v>5</v>
      </c>
      <c r="S12" s="142" t="s">
        <v>5</v>
      </c>
      <c r="T12" s="188" t="s">
        <v>5</v>
      </c>
      <c r="U12" s="62" t="s">
        <v>6</v>
      </c>
      <c r="V12" s="237">
        <v>100</v>
      </c>
      <c r="W12" s="40" t="str">
        <f t="shared" si="0"/>
        <v>A</v>
      </c>
    </row>
    <row r="13" spans="1:23" ht="15.75" customHeight="1">
      <c r="A13" s="235" t="s">
        <v>58</v>
      </c>
      <c r="B13" s="253">
        <v>1</v>
      </c>
      <c r="C13" s="267" t="s">
        <v>7</v>
      </c>
      <c r="D13" s="254" t="s">
        <v>5</v>
      </c>
      <c r="E13" s="143">
        <f>0.02*100</f>
        <v>2</v>
      </c>
      <c r="F13" s="133" t="s">
        <v>5</v>
      </c>
      <c r="G13" s="142" t="s">
        <v>5</v>
      </c>
      <c r="H13" s="121" t="s">
        <v>5</v>
      </c>
      <c r="I13" s="218" t="s">
        <v>5</v>
      </c>
      <c r="J13" s="142" t="s">
        <v>5</v>
      </c>
      <c r="K13" s="121" t="s">
        <v>5</v>
      </c>
      <c r="L13" s="218" t="s">
        <v>5</v>
      </c>
      <c r="M13" s="142" t="s">
        <v>5</v>
      </c>
      <c r="N13" s="121" t="s">
        <v>5</v>
      </c>
      <c r="O13" s="218" t="s">
        <v>5</v>
      </c>
      <c r="P13" s="142" t="s">
        <v>5</v>
      </c>
      <c r="Q13" s="121" t="s">
        <v>5</v>
      </c>
      <c r="R13" s="218" t="s">
        <v>5</v>
      </c>
      <c r="S13" s="142" t="s">
        <v>5</v>
      </c>
      <c r="T13" s="188" t="s">
        <v>5</v>
      </c>
      <c r="U13" s="62" t="s">
        <v>6</v>
      </c>
      <c r="V13" s="236">
        <v>100</v>
      </c>
      <c r="W13" s="40" t="str">
        <f t="shared" si="0"/>
        <v>A</v>
      </c>
    </row>
    <row r="14" spans="1:23" ht="15.75" customHeight="1">
      <c r="A14" s="235" t="s">
        <v>56</v>
      </c>
      <c r="B14" s="253">
        <v>1</v>
      </c>
      <c r="C14" s="267" t="s">
        <v>10</v>
      </c>
      <c r="D14" s="257" t="s">
        <v>5</v>
      </c>
      <c r="E14" s="143">
        <v>1.3</v>
      </c>
      <c r="F14" s="133" t="s">
        <v>5</v>
      </c>
      <c r="G14" s="140" t="s">
        <v>5</v>
      </c>
      <c r="H14" s="121" t="s">
        <v>5</v>
      </c>
      <c r="I14" s="218" t="s">
        <v>5</v>
      </c>
      <c r="J14" s="142" t="s">
        <v>5</v>
      </c>
      <c r="K14" s="121" t="s">
        <v>5</v>
      </c>
      <c r="L14" s="218" t="s">
        <v>5</v>
      </c>
      <c r="M14" s="142" t="s">
        <v>5</v>
      </c>
      <c r="N14" s="121" t="s">
        <v>5</v>
      </c>
      <c r="O14" s="218" t="s">
        <v>5</v>
      </c>
      <c r="P14" s="142" t="s">
        <v>5</v>
      </c>
      <c r="Q14" s="121" t="s">
        <v>5</v>
      </c>
      <c r="R14" s="218" t="s">
        <v>5</v>
      </c>
      <c r="S14" s="142" t="s">
        <v>5</v>
      </c>
      <c r="T14" s="189" t="s">
        <v>5</v>
      </c>
      <c r="U14" s="62" t="s">
        <v>5</v>
      </c>
      <c r="V14" s="236" t="s">
        <v>5</v>
      </c>
      <c r="W14" s="40" t="str">
        <f t="shared" si="0"/>
        <v/>
      </c>
    </row>
    <row r="15" spans="1:23" ht="15.75" customHeight="1">
      <c r="A15" s="235" t="s">
        <v>56</v>
      </c>
      <c r="B15" s="253">
        <v>2</v>
      </c>
      <c r="C15" s="267" t="s">
        <v>8</v>
      </c>
      <c r="D15" s="257" t="s">
        <v>5</v>
      </c>
      <c r="E15" s="143">
        <v>6.49</v>
      </c>
      <c r="F15" s="133" t="s">
        <v>5</v>
      </c>
      <c r="G15" s="140" t="s">
        <v>5</v>
      </c>
      <c r="H15" s="121" t="s">
        <v>5</v>
      </c>
      <c r="I15" s="218" t="s">
        <v>5</v>
      </c>
      <c r="J15" s="142" t="s">
        <v>5</v>
      </c>
      <c r="K15" s="121" t="s">
        <v>5</v>
      </c>
      <c r="L15" s="218" t="s">
        <v>5</v>
      </c>
      <c r="M15" s="142" t="s">
        <v>5</v>
      </c>
      <c r="N15" s="121" t="s">
        <v>5</v>
      </c>
      <c r="O15" s="218" t="s">
        <v>5</v>
      </c>
      <c r="P15" s="142" t="s">
        <v>5</v>
      </c>
      <c r="Q15" s="121" t="s">
        <v>5</v>
      </c>
      <c r="R15" s="218" t="s">
        <v>5</v>
      </c>
      <c r="S15" s="142" t="s">
        <v>5</v>
      </c>
      <c r="T15" s="189" t="s">
        <v>5</v>
      </c>
      <c r="U15" s="62" t="s">
        <v>6</v>
      </c>
      <c r="V15" s="236">
        <v>100</v>
      </c>
      <c r="W15" s="40" t="str">
        <f t="shared" si="0"/>
        <v>A</v>
      </c>
    </row>
    <row r="16" spans="1:23" ht="15.75" customHeight="1">
      <c r="A16" s="235" t="s">
        <v>48</v>
      </c>
      <c r="B16" s="253">
        <v>1</v>
      </c>
      <c r="C16" s="267" t="s">
        <v>8</v>
      </c>
      <c r="D16" s="254" t="s">
        <v>5</v>
      </c>
      <c r="E16" s="143">
        <f>(0.0675+0.0075+0.024+0.038+0.001)*100</f>
        <v>13.8</v>
      </c>
      <c r="F16" s="133">
        <v>0</v>
      </c>
      <c r="G16" s="134">
        <v>37032</v>
      </c>
      <c r="H16" s="143">
        <f>(0.0075+0.024+0.089+0.001)*100</f>
        <v>12.15</v>
      </c>
      <c r="I16" s="133">
        <f>G16</f>
        <v>37032</v>
      </c>
      <c r="J16" s="134">
        <f>3*G16</f>
        <v>111096</v>
      </c>
      <c r="K16" s="143">
        <f>(0.0075+0.024+0.001)*100</f>
        <v>3.25</v>
      </c>
      <c r="L16" s="133">
        <f>J16</f>
        <v>111096</v>
      </c>
      <c r="M16" s="134">
        <f>4*G16</f>
        <v>148128</v>
      </c>
      <c r="N16" s="143">
        <f>(0.0075+0.001)*100</f>
        <v>0.85000000000000009</v>
      </c>
      <c r="O16" s="133">
        <f>M16</f>
        <v>148128</v>
      </c>
      <c r="P16" s="180" t="s">
        <v>5</v>
      </c>
      <c r="Q16" s="120" t="s">
        <v>5</v>
      </c>
      <c r="R16" s="219" t="s">
        <v>5</v>
      </c>
      <c r="S16" s="180" t="s">
        <v>5</v>
      </c>
      <c r="T16" s="188" t="s">
        <v>5</v>
      </c>
      <c r="U16" s="62" t="s">
        <v>6</v>
      </c>
      <c r="V16" s="236">
        <v>100</v>
      </c>
      <c r="W16" s="40" t="str">
        <f t="shared" si="0"/>
        <v>A</v>
      </c>
    </row>
    <row r="17" spans="1:23" ht="15.75" customHeight="1">
      <c r="A17" s="272" t="s">
        <v>54</v>
      </c>
      <c r="B17" s="253">
        <v>1</v>
      </c>
      <c r="C17" s="267" t="s">
        <v>8</v>
      </c>
      <c r="D17" s="254" t="s">
        <v>5</v>
      </c>
      <c r="E17" s="143">
        <f>9.45+8.2+1.5+1.025</f>
        <v>20.174999999999997</v>
      </c>
      <c r="F17" s="133">
        <v>0</v>
      </c>
      <c r="G17" s="134">
        <v>47250</v>
      </c>
      <c r="H17" s="143">
        <f>9.45+1.5</f>
        <v>10.95</v>
      </c>
      <c r="I17" s="133">
        <f>G17</f>
        <v>47250</v>
      </c>
      <c r="J17" s="134">
        <v>69600</v>
      </c>
      <c r="K17" s="120" t="s">
        <v>5</v>
      </c>
      <c r="L17" s="219" t="s">
        <v>5</v>
      </c>
      <c r="M17" s="180" t="s">
        <v>5</v>
      </c>
      <c r="N17" s="120" t="s">
        <v>5</v>
      </c>
      <c r="O17" s="219" t="s">
        <v>5</v>
      </c>
      <c r="P17" s="180" t="s">
        <v>5</v>
      </c>
      <c r="Q17" s="120" t="s">
        <v>5</v>
      </c>
      <c r="R17" s="219" t="s">
        <v>5</v>
      </c>
      <c r="S17" s="180" t="s">
        <v>5</v>
      </c>
      <c r="T17" s="189">
        <f>(G17-F17)*E17/100 + (J17-I17)*H17/100</f>
        <v>11980.012499999997</v>
      </c>
      <c r="U17" s="62" t="s">
        <v>6</v>
      </c>
      <c r="V17" s="237" t="s">
        <v>218</v>
      </c>
      <c r="W17" s="40" t="str">
        <f t="shared" si="0"/>
        <v>A</v>
      </c>
    </row>
    <row r="18" spans="1:23" ht="15.75" customHeight="1">
      <c r="A18" s="235" t="s">
        <v>53</v>
      </c>
      <c r="B18" s="253">
        <v>1</v>
      </c>
      <c r="C18" s="267" t="s">
        <v>7</v>
      </c>
      <c r="D18" s="257" t="s">
        <v>5</v>
      </c>
      <c r="E18" s="143">
        <f>0.165*100</f>
        <v>16.5</v>
      </c>
      <c r="F18" s="133">
        <v>0</v>
      </c>
      <c r="G18" s="134">
        <f>77655.2/14</f>
        <v>5546.8</v>
      </c>
      <c r="H18" s="120" t="s">
        <v>5</v>
      </c>
      <c r="I18" s="219" t="s">
        <v>5</v>
      </c>
      <c r="J18" s="180" t="s">
        <v>5</v>
      </c>
      <c r="K18" s="120" t="s">
        <v>5</v>
      </c>
      <c r="L18" s="219" t="s">
        <v>5</v>
      </c>
      <c r="M18" s="180" t="s">
        <v>5</v>
      </c>
      <c r="N18" s="120" t="s">
        <v>5</v>
      </c>
      <c r="O18" s="219" t="s">
        <v>5</v>
      </c>
      <c r="P18" s="180" t="s">
        <v>5</v>
      </c>
      <c r="Q18" s="120" t="s">
        <v>5</v>
      </c>
      <c r="R18" s="219" t="s">
        <v>5</v>
      </c>
      <c r="S18" s="180" t="s">
        <v>5</v>
      </c>
      <c r="T18" s="189">
        <f>G18*E18/100</f>
        <v>915.22199999999998</v>
      </c>
      <c r="U18" s="62" t="s">
        <v>6</v>
      </c>
      <c r="V18" s="236">
        <v>100</v>
      </c>
      <c r="W18" s="40" t="str">
        <f t="shared" si="0"/>
        <v>A</v>
      </c>
    </row>
    <row r="19" spans="1:23" ht="15.75" customHeight="1">
      <c r="A19" s="235" t="s">
        <v>23</v>
      </c>
      <c r="B19" s="253">
        <v>1</v>
      </c>
      <c r="C19" s="267" t="s">
        <v>8</v>
      </c>
      <c r="D19" s="254" t="s">
        <v>5</v>
      </c>
      <c r="E19" s="143">
        <f>7+1.5+10</f>
        <v>18.5</v>
      </c>
      <c r="F19" s="133" t="s">
        <v>5</v>
      </c>
      <c r="G19" s="134" t="s">
        <v>5</v>
      </c>
      <c r="H19" s="120" t="s">
        <v>5</v>
      </c>
      <c r="I19" s="219" t="s">
        <v>5</v>
      </c>
      <c r="J19" s="180" t="s">
        <v>5</v>
      </c>
      <c r="K19" s="120" t="s">
        <v>5</v>
      </c>
      <c r="L19" s="219" t="s">
        <v>5</v>
      </c>
      <c r="M19" s="180" t="s">
        <v>5</v>
      </c>
      <c r="N19" s="120" t="s">
        <v>5</v>
      </c>
      <c r="O19" s="219" t="s">
        <v>5</v>
      </c>
      <c r="P19" s="180" t="s">
        <v>5</v>
      </c>
      <c r="Q19" s="120" t="s">
        <v>5</v>
      </c>
      <c r="R19" s="219" t="s">
        <v>5</v>
      </c>
      <c r="S19" s="180" t="s">
        <v>5</v>
      </c>
      <c r="T19" s="188" t="s">
        <v>5</v>
      </c>
      <c r="U19" s="239" t="s">
        <v>5</v>
      </c>
      <c r="V19" s="237" t="s">
        <v>5</v>
      </c>
      <c r="W19" s="40" t="str">
        <f t="shared" si="0"/>
        <v/>
      </c>
    </row>
    <row r="20" spans="1:23" ht="15.75" customHeight="1">
      <c r="A20" s="235" t="s">
        <v>68</v>
      </c>
      <c r="B20" s="253">
        <v>1</v>
      </c>
      <c r="C20" s="266" t="s">
        <v>6</v>
      </c>
      <c r="D20" s="256">
        <v>29300</v>
      </c>
      <c r="E20" s="143" t="s">
        <v>24</v>
      </c>
      <c r="F20" s="133">
        <v>1559003</v>
      </c>
      <c r="G20" s="134" t="s">
        <v>24</v>
      </c>
      <c r="H20" s="120" t="s">
        <v>5</v>
      </c>
      <c r="I20" s="219" t="s">
        <v>5</v>
      </c>
      <c r="J20" s="180" t="s">
        <v>5</v>
      </c>
      <c r="K20" s="120" t="s">
        <v>5</v>
      </c>
      <c r="L20" s="219" t="s">
        <v>5</v>
      </c>
      <c r="M20" s="180" t="s">
        <v>5</v>
      </c>
      <c r="N20" s="120" t="s">
        <v>5</v>
      </c>
      <c r="O20" s="219" t="s">
        <v>5</v>
      </c>
      <c r="P20" s="180" t="s">
        <v>5</v>
      </c>
      <c r="Q20" s="120" t="s">
        <v>5</v>
      </c>
      <c r="R20" s="219" t="s">
        <v>5</v>
      </c>
      <c r="S20" s="180" t="s">
        <v>5</v>
      </c>
      <c r="T20" s="189" t="s">
        <v>24</v>
      </c>
      <c r="U20" s="67" t="s">
        <v>5</v>
      </c>
      <c r="V20" s="237" t="s">
        <v>5</v>
      </c>
      <c r="W20" s="40" t="str">
        <f t="shared" si="0"/>
        <v/>
      </c>
    </row>
    <row r="21" spans="1:23" ht="15.75" customHeight="1">
      <c r="A21" s="235" t="s">
        <v>68</v>
      </c>
      <c r="B21" s="253">
        <v>2</v>
      </c>
      <c r="C21" s="266" t="s">
        <v>8</v>
      </c>
      <c r="D21" s="258" t="s">
        <v>5</v>
      </c>
      <c r="E21" s="143">
        <f>(0.04+0.02)*100</f>
        <v>6</v>
      </c>
      <c r="F21" s="133" t="s">
        <v>5</v>
      </c>
      <c r="G21" s="134" t="s">
        <v>5</v>
      </c>
      <c r="H21" s="120" t="s">
        <v>5</v>
      </c>
      <c r="I21" s="219" t="s">
        <v>5</v>
      </c>
      <c r="J21" s="180" t="s">
        <v>5</v>
      </c>
      <c r="K21" s="120" t="s">
        <v>5</v>
      </c>
      <c r="L21" s="219" t="s">
        <v>5</v>
      </c>
      <c r="M21" s="180" t="s">
        <v>5</v>
      </c>
      <c r="N21" s="120" t="s">
        <v>5</v>
      </c>
      <c r="O21" s="219" t="s">
        <v>5</v>
      </c>
      <c r="P21" s="180" t="s">
        <v>5</v>
      </c>
      <c r="Q21" s="120" t="s">
        <v>5</v>
      </c>
      <c r="R21" s="219" t="s">
        <v>5</v>
      </c>
      <c r="S21" s="180" t="s">
        <v>5</v>
      </c>
      <c r="T21" s="188" t="s">
        <v>5</v>
      </c>
      <c r="U21" s="62" t="s">
        <v>6</v>
      </c>
      <c r="V21" s="236">
        <v>100</v>
      </c>
      <c r="W21" s="40" t="str">
        <f t="shared" si="0"/>
        <v>A</v>
      </c>
    </row>
    <row r="22" spans="1:23" ht="15.75" customHeight="1">
      <c r="A22" s="235" t="s">
        <v>92</v>
      </c>
      <c r="B22" s="253">
        <v>1</v>
      </c>
      <c r="C22" s="267" t="s">
        <v>8</v>
      </c>
      <c r="D22" s="258" t="s">
        <v>5</v>
      </c>
      <c r="E22" s="143">
        <f>0.04*100</f>
        <v>4</v>
      </c>
      <c r="F22" s="220" t="s">
        <v>77</v>
      </c>
      <c r="G22" s="142" t="s">
        <v>5</v>
      </c>
      <c r="H22" s="121" t="s">
        <v>5</v>
      </c>
      <c r="I22" s="218" t="s">
        <v>5</v>
      </c>
      <c r="J22" s="142" t="s">
        <v>5</v>
      </c>
      <c r="K22" s="121" t="s">
        <v>5</v>
      </c>
      <c r="L22" s="218" t="s">
        <v>5</v>
      </c>
      <c r="M22" s="142" t="s">
        <v>5</v>
      </c>
      <c r="N22" s="121" t="s">
        <v>5</v>
      </c>
      <c r="O22" s="218" t="s">
        <v>5</v>
      </c>
      <c r="P22" s="142" t="s">
        <v>5</v>
      </c>
      <c r="Q22" s="121" t="s">
        <v>5</v>
      </c>
      <c r="R22" s="218" t="s">
        <v>5</v>
      </c>
      <c r="S22" s="142" t="s">
        <v>5</v>
      </c>
      <c r="T22" s="188" t="s">
        <v>5</v>
      </c>
      <c r="U22" s="35" t="s">
        <v>5</v>
      </c>
      <c r="V22" s="240" t="s">
        <v>5</v>
      </c>
      <c r="W22" s="40" t="str">
        <f t="shared" si="0"/>
        <v/>
      </c>
    </row>
    <row r="23" spans="1:23" ht="15.75" customHeight="1">
      <c r="A23" s="235" t="s">
        <v>69</v>
      </c>
      <c r="B23" s="253">
        <v>1</v>
      </c>
      <c r="C23" s="267" t="s">
        <v>7</v>
      </c>
      <c r="D23" s="254" t="s">
        <v>5</v>
      </c>
      <c r="E23" s="143">
        <f>0.035*100</f>
        <v>3.5000000000000004</v>
      </c>
      <c r="F23" s="133">
        <v>0</v>
      </c>
      <c r="G23" s="140">
        <f>63564/12</f>
        <v>5297</v>
      </c>
      <c r="H23" s="143">
        <f>0.12*100</f>
        <v>12</v>
      </c>
      <c r="I23" s="139">
        <f>G23</f>
        <v>5297</v>
      </c>
      <c r="J23" s="140">
        <f>509220/12</f>
        <v>42435</v>
      </c>
      <c r="K23" s="121" t="s">
        <v>5</v>
      </c>
      <c r="L23" s="218" t="s">
        <v>5</v>
      </c>
      <c r="M23" s="142" t="s">
        <v>5</v>
      </c>
      <c r="N23" s="121" t="s">
        <v>5</v>
      </c>
      <c r="O23" s="218" t="s">
        <v>5</v>
      </c>
      <c r="P23" s="142" t="s">
        <v>5</v>
      </c>
      <c r="Q23" s="121" t="s">
        <v>5</v>
      </c>
      <c r="R23" s="218" t="s">
        <v>5</v>
      </c>
      <c r="S23" s="142" t="s">
        <v>5</v>
      </c>
      <c r="T23" s="189">
        <f>+E23/100*G23+H23/100*(J23-I23)</f>
        <v>4641.9549999999999</v>
      </c>
      <c r="U23" s="67" t="s">
        <v>5</v>
      </c>
      <c r="V23" s="237" t="s">
        <v>5</v>
      </c>
      <c r="W23" s="40" t="str">
        <f t="shared" si="0"/>
        <v/>
      </c>
    </row>
    <row r="24" spans="1:23" ht="15.75" customHeight="1">
      <c r="A24" s="235" t="s">
        <v>13</v>
      </c>
      <c r="B24" s="253">
        <v>1</v>
      </c>
      <c r="C24" s="267" t="s">
        <v>8</v>
      </c>
      <c r="D24" s="254" t="s">
        <v>5</v>
      </c>
      <c r="E24" s="143">
        <v>9.49</v>
      </c>
      <c r="F24" s="133">
        <v>0</v>
      </c>
      <c r="G24" s="140">
        <v>45530</v>
      </c>
      <c r="H24" s="143">
        <v>10.49</v>
      </c>
      <c r="I24" s="139">
        <f>G24</f>
        <v>45530</v>
      </c>
      <c r="J24" s="140">
        <v>99034</v>
      </c>
      <c r="K24" s="121" t="s">
        <v>5</v>
      </c>
      <c r="L24" s="218" t="s">
        <v>5</v>
      </c>
      <c r="M24" s="142" t="s">
        <v>5</v>
      </c>
      <c r="N24" s="121" t="s">
        <v>5</v>
      </c>
      <c r="O24" s="218" t="s">
        <v>5</v>
      </c>
      <c r="P24" s="142" t="s">
        <v>5</v>
      </c>
      <c r="Q24" s="121" t="s">
        <v>5</v>
      </c>
      <c r="R24" s="218" t="s">
        <v>5</v>
      </c>
      <c r="S24" s="142" t="s">
        <v>5</v>
      </c>
      <c r="T24" s="189">
        <f>((E24/100)*G24)+(H24/100)*(J24-I24)</f>
        <v>9933.3666000000012</v>
      </c>
      <c r="U24" s="241" t="s">
        <v>6</v>
      </c>
      <c r="V24" s="237">
        <v>100</v>
      </c>
      <c r="W24" s="40" t="str">
        <f t="shared" si="0"/>
        <v>A</v>
      </c>
    </row>
    <row r="25" spans="1:23" ht="15.75" customHeight="1">
      <c r="A25" s="235" t="s">
        <v>14</v>
      </c>
      <c r="B25" s="253">
        <v>1</v>
      </c>
      <c r="C25" s="267" t="s">
        <v>7</v>
      </c>
      <c r="D25" s="257" t="s">
        <v>5</v>
      </c>
      <c r="E25" s="143">
        <f>0.08442*100+H25</f>
        <v>13.942</v>
      </c>
      <c r="F25" s="133">
        <v>0</v>
      </c>
      <c r="G25" s="140">
        <f>7440000/12</f>
        <v>620000</v>
      </c>
      <c r="H25" s="143">
        <f>0.05*100+K25</f>
        <v>5.5</v>
      </c>
      <c r="I25" s="139">
        <f>G25</f>
        <v>620000</v>
      </c>
      <c r="J25" s="140">
        <f>14520000/12</f>
        <v>1210000</v>
      </c>
      <c r="K25" s="143">
        <f>0.005*100</f>
        <v>0.5</v>
      </c>
      <c r="L25" s="139">
        <f>J25</f>
        <v>1210000</v>
      </c>
      <c r="M25" s="180" t="s">
        <v>5</v>
      </c>
      <c r="N25" s="121" t="s">
        <v>5</v>
      </c>
      <c r="O25" s="218" t="s">
        <v>5</v>
      </c>
      <c r="P25" s="142" t="s">
        <v>5</v>
      </c>
      <c r="Q25" s="121" t="s">
        <v>5</v>
      </c>
      <c r="R25" s="218" t="s">
        <v>5</v>
      </c>
      <c r="S25" s="142" t="s">
        <v>5</v>
      </c>
      <c r="T25" s="189" t="s">
        <v>5</v>
      </c>
      <c r="U25" s="62" t="s">
        <v>6</v>
      </c>
      <c r="V25" s="236">
        <v>100</v>
      </c>
      <c r="W25" s="40" t="str">
        <f t="shared" si="0"/>
        <v>A</v>
      </c>
    </row>
    <row r="26" spans="1:23" ht="15.75" customHeight="1">
      <c r="A26" s="235" t="s">
        <v>15</v>
      </c>
      <c r="B26" s="253">
        <v>1</v>
      </c>
      <c r="C26" s="266" t="s">
        <v>7</v>
      </c>
      <c r="D26" s="254" t="s">
        <v>5</v>
      </c>
      <c r="E26" s="143">
        <f>(0.045*100)+H26</f>
        <v>8.2879000000000005</v>
      </c>
      <c r="F26" s="133">
        <v>0</v>
      </c>
      <c r="G26" s="140">
        <f>(2149200/0.045)/12</f>
        <v>3980000</v>
      </c>
      <c r="H26" s="143">
        <f>(0.031379*100)+K26</f>
        <v>3.7878999999999996</v>
      </c>
      <c r="I26" s="133">
        <f>G26</f>
        <v>3980000</v>
      </c>
      <c r="J26" s="140">
        <f>(29408375/0.031379)/12</f>
        <v>78099936.794246688</v>
      </c>
      <c r="K26" s="208">
        <f>0.0065*100</f>
        <v>0.65</v>
      </c>
      <c r="L26" s="133">
        <f>J26</f>
        <v>78099936.794246688</v>
      </c>
      <c r="M26" s="142" t="s">
        <v>5</v>
      </c>
      <c r="N26" s="121" t="s">
        <v>5</v>
      </c>
      <c r="O26" s="218" t="s">
        <v>5</v>
      </c>
      <c r="P26" s="142" t="s">
        <v>5</v>
      </c>
      <c r="Q26" s="121" t="s">
        <v>5</v>
      </c>
      <c r="R26" s="218" t="s">
        <v>5</v>
      </c>
      <c r="S26" s="142" t="s">
        <v>5</v>
      </c>
      <c r="T26" s="188" t="s">
        <v>5</v>
      </c>
      <c r="U26" s="62" t="s">
        <v>6</v>
      </c>
      <c r="V26" s="236">
        <v>100</v>
      </c>
      <c r="W26" s="40" t="str">
        <f t="shared" si="0"/>
        <v>A</v>
      </c>
    </row>
    <row r="27" spans="1:23">
      <c r="A27" s="513" t="s">
        <v>282</v>
      </c>
      <c r="B27" s="500">
        <v>1</v>
      </c>
      <c r="C27" s="30" t="s">
        <v>8</v>
      </c>
      <c r="D27" s="502" t="s">
        <v>5</v>
      </c>
      <c r="E27" s="503">
        <v>11</v>
      </c>
      <c r="F27" s="400" t="s">
        <v>5</v>
      </c>
      <c r="G27" s="396" t="s">
        <v>5</v>
      </c>
      <c r="H27" s="501"/>
      <c r="I27" s="504"/>
      <c r="J27" s="505"/>
      <c r="K27" s="501"/>
      <c r="L27" s="504"/>
      <c r="M27" s="505"/>
      <c r="N27" s="506"/>
      <c r="O27" s="504"/>
      <c r="P27" s="505"/>
      <c r="Q27" s="506"/>
      <c r="R27" s="504"/>
      <c r="S27" s="505"/>
      <c r="T27" s="507"/>
      <c r="U27" s="62" t="s">
        <v>6</v>
      </c>
      <c r="V27" s="375">
        <v>100</v>
      </c>
      <c r="W27" s="30" t="str">
        <f t="shared" si="0"/>
        <v>A</v>
      </c>
    </row>
    <row r="28" spans="1:23" ht="15.75" customHeight="1">
      <c r="A28" s="235" t="s">
        <v>70</v>
      </c>
      <c r="B28" s="253">
        <v>1</v>
      </c>
      <c r="C28" s="267" t="s">
        <v>8</v>
      </c>
      <c r="D28" s="254" t="s">
        <v>5</v>
      </c>
      <c r="E28" s="143">
        <f>0.1105*100</f>
        <v>11.05</v>
      </c>
      <c r="F28" s="133">
        <v>0</v>
      </c>
      <c r="G28" s="134">
        <v>112451.28</v>
      </c>
      <c r="H28" s="120" t="s">
        <v>5</v>
      </c>
      <c r="I28" s="219" t="s">
        <v>5</v>
      </c>
      <c r="J28" s="180" t="s">
        <v>5</v>
      </c>
      <c r="K28" s="120" t="s">
        <v>5</v>
      </c>
      <c r="L28" s="219" t="s">
        <v>5</v>
      </c>
      <c r="M28" s="180" t="s">
        <v>5</v>
      </c>
      <c r="N28" s="120" t="s">
        <v>5</v>
      </c>
      <c r="O28" s="219" t="s">
        <v>5</v>
      </c>
      <c r="P28" s="180" t="s">
        <v>5</v>
      </c>
      <c r="Q28" s="120" t="s">
        <v>5</v>
      </c>
      <c r="R28" s="219" t="s">
        <v>5</v>
      </c>
      <c r="S28" s="180" t="s">
        <v>5</v>
      </c>
      <c r="T28" s="189">
        <f>+G28*E28/100</f>
        <v>12425.866440000002</v>
      </c>
      <c r="U28" s="61" t="s">
        <v>6</v>
      </c>
      <c r="V28" s="238">
        <v>100</v>
      </c>
      <c r="W28" s="40" t="str">
        <f t="shared" si="0"/>
        <v>A</v>
      </c>
    </row>
    <row r="29" spans="1:23" ht="15.75" customHeight="1">
      <c r="A29" s="235" t="s">
        <v>70</v>
      </c>
      <c r="B29" s="253">
        <v>2</v>
      </c>
      <c r="C29" s="267" t="s">
        <v>8</v>
      </c>
      <c r="D29" s="255" t="s">
        <v>5</v>
      </c>
      <c r="E29" s="143">
        <f>0.014*100</f>
        <v>1.4000000000000001</v>
      </c>
      <c r="F29" s="133">
        <f>0.25*22490.28</f>
        <v>5622.57</v>
      </c>
      <c r="G29" s="134" t="s">
        <v>29</v>
      </c>
      <c r="H29" s="120" t="s">
        <v>5</v>
      </c>
      <c r="I29" s="219" t="s">
        <v>5</v>
      </c>
      <c r="J29" s="180" t="s">
        <v>5</v>
      </c>
      <c r="K29" s="120" t="s">
        <v>5</v>
      </c>
      <c r="L29" s="219" t="s">
        <v>5</v>
      </c>
      <c r="M29" s="180" t="s">
        <v>5</v>
      </c>
      <c r="N29" s="120" t="s">
        <v>5</v>
      </c>
      <c r="O29" s="219" t="s">
        <v>5</v>
      </c>
      <c r="P29" s="180" t="s">
        <v>5</v>
      </c>
      <c r="Q29" s="120" t="s">
        <v>5</v>
      </c>
      <c r="R29" s="219" t="s">
        <v>5</v>
      </c>
      <c r="S29" s="180" t="s">
        <v>5</v>
      </c>
      <c r="T29" s="189" t="s">
        <v>5</v>
      </c>
      <c r="U29" s="66" t="s">
        <v>5</v>
      </c>
      <c r="V29" s="242" t="s">
        <v>5</v>
      </c>
      <c r="W29" s="40" t="str">
        <f t="shared" si="0"/>
        <v/>
      </c>
    </row>
    <row r="30" spans="1:23" ht="15.75" customHeight="1">
      <c r="A30" s="235" t="s">
        <v>71</v>
      </c>
      <c r="B30" s="253">
        <v>1</v>
      </c>
      <c r="C30" s="267" t="s">
        <v>7</v>
      </c>
      <c r="D30" s="257" t="s">
        <v>5</v>
      </c>
      <c r="E30" s="143">
        <f>0.0125*100</f>
        <v>1.25</v>
      </c>
      <c r="F30" s="133">
        <v>0</v>
      </c>
      <c r="G30" s="221">
        <f>3*64.76*(365/12)</f>
        <v>5909.3500000000013</v>
      </c>
      <c r="H30" s="143">
        <f>E30+(0.004*100)</f>
        <v>1.65</v>
      </c>
      <c r="I30" s="220">
        <f>G30</f>
        <v>5909.3500000000013</v>
      </c>
      <c r="J30" s="221">
        <f>25*64.76*(365/12)</f>
        <v>49244.583333333343</v>
      </c>
      <c r="K30" s="174" t="s">
        <v>5</v>
      </c>
      <c r="L30" s="475" t="s">
        <v>5</v>
      </c>
      <c r="M30" s="226" t="s">
        <v>5</v>
      </c>
      <c r="N30" s="174" t="s">
        <v>5</v>
      </c>
      <c r="O30" s="475" t="s">
        <v>5</v>
      </c>
      <c r="P30" s="226" t="s">
        <v>5</v>
      </c>
      <c r="Q30" s="174" t="s">
        <v>5</v>
      </c>
      <c r="R30" s="475" t="s">
        <v>5</v>
      </c>
      <c r="S30" s="226" t="s">
        <v>5</v>
      </c>
      <c r="T30" s="189">
        <f>((E30/100)*G30)+(H30/100)*(J30-I30)</f>
        <v>788.89822500000025</v>
      </c>
      <c r="U30" s="243" t="s">
        <v>5</v>
      </c>
      <c r="V30" s="237" t="s">
        <v>5</v>
      </c>
      <c r="W30" s="40" t="str">
        <f t="shared" si="0"/>
        <v/>
      </c>
    </row>
    <row r="31" spans="1:23" ht="15.75" customHeight="1">
      <c r="A31" s="235" t="s">
        <v>60</v>
      </c>
      <c r="B31" s="253">
        <v>1</v>
      </c>
      <c r="C31" s="266" t="s">
        <v>6</v>
      </c>
      <c r="D31" s="259" t="s">
        <v>5</v>
      </c>
      <c r="E31" s="135">
        <f>(0.179+0.006+0.1265)*100</f>
        <v>31.15</v>
      </c>
      <c r="F31" s="133">
        <v>0</v>
      </c>
      <c r="G31" s="134">
        <v>33363</v>
      </c>
      <c r="H31" s="120" t="s">
        <v>5</v>
      </c>
      <c r="I31" s="219" t="s">
        <v>5</v>
      </c>
      <c r="J31" s="180" t="s">
        <v>5</v>
      </c>
      <c r="K31" s="120" t="s">
        <v>5</v>
      </c>
      <c r="L31" s="219" t="s">
        <v>5</v>
      </c>
      <c r="M31" s="180" t="s">
        <v>5</v>
      </c>
      <c r="N31" s="120" t="s">
        <v>5</v>
      </c>
      <c r="O31" s="219" t="s">
        <v>5</v>
      </c>
      <c r="P31" s="180" t="s">
        <v>5</v>
      </c>
      <c r="Q31" s="120" t="s">
        <v>5</v>
      </c>
      <c r="R31" s="219" t="s">
        <v>5</v>
      </c>
      <c r="S31" s="180" t="s">
        <v>5</v>
      </c>
      <c r="T31" s="189">
        <f>(G31-F31)*E31/100</f>
        <v>10392.574499999999</v>
      </c>
      <c r="U31" s="61" t="s">
        <v>6</v>
      </c>
      <c r="V31" s="238">
        <v>100</v>
      </c>
      <c r="W31" s="40" t="str">
        <f t="shared" si="0"/>
        <v>A</v>
      </c>
    </row>
    <row r="32" spans="1:23" ht="15.75" customHeight="1">
      <c r="A32" s="244" t="s">
        <v>42</v>
      </c>
      <c r="B32" s="276">
        <v>0</v>
      </c>
      <c r="C32" s="268" t="s">
        <v>250</v>
      </c>
      <c r="D32" s="261" t="s">
        <v>5</v>
      </c>
      <c r="E32" s="141" t="s">
        <v>5</v>
      </c>
      <c r="F32" s="222" t="s">
        <v>5</v>
      </c>
      <c r="G32" s="223" t="s">
        <v>5</v>
      </c>
      <c r="H32" s="120" t="s">
        <v>5</v>
      </c>
      <c r="I32" s="219" t="s">
        <v>5</v>
      </c>
      <c r="J32" s="180" t="s">
        <v>5</v>
      </c>
      <c r="K32" s="120" t="s">
        <v>5</v>
      </c>
      <c r="L32" s="219" t="s">
        <v>5</v>
      </c>
      <c r="M32" s="180" t="s">
        <v>5</v>
      </c>
      <c r="N32" s="120" t="s">
        <v>5</v>
      </c>
      <c r="O32" s="219" t="s">
        <v>5</v>
      </c>
      <c r="P32" s="180" t="s">
        <v>5</v>
      </c>
      <c r="Q32" s="120" t="s">
        <v>5</v>
      </c>
      <c r="R32" s="219" t="s">
        <v>5</v>
      </c>
      <c r="S32" s="180" t="s">
        <v>5</v>
      </c>
      <c r="T32" s="190" t="s">
        <v>5</v>
      </c>
      <c r="U32" s="111" t="s">
        <v>5</v>
      </c>
      <c r="V32" s="245" t="s">
        <v>5</v>
      </c>
      <c r="W32" s="40" t="str">
        <f t="shared" si="0"/>
        <v/>
      </c>
    </row>
    <row r="33" spans="1:23" ht="15.75" customHeight="1">
      <c r="A33" s="235" t="s">
        <v>64</v>
      </c>
      <c r="B33" s="253">
        <v>1</v>
      </c>
      <c r="C33" s="267" t="s">
        <v>8</v>
      </c>
      <c r="D33" s="254" t="s">
        <v>5</v>
      </c>
      <c r="E33" s="143">
        <f>0.078*100</f>
        <v>7.8</v>
      </c>
      <c r="F33" s="133" t="s">
        <v>65</v>
      </c>
      <c r="G33" s="134" t="s">
        <v>5</v>
      </c>
      <c r="H33" s="120" t="s">
        <v>5</v>
      </c>
      <c r="I33" s="219" t="s">
        <v>5</v>
      </c>
      <c r="J33" s="180" t="s">
        <v>5</v>
      </c>
      <c r="K33" s="120" t="s">
        <v>5</v>
      </c>
      <c r="L33" s="219" t="s">
        <v>5</v>
      </c>
      <c r="M33" s="180" t="s">
        <v>5</v>
      </c>
      <c r="N33" s="120" t="s">
        <v>5</v>
      </c>
      <c r="O33" s="219" t="s">
        <v>5</v>
      </c>
      <c r="P33" s="180" t="s">
        <v>5</v>
      </c>
      <c r="Q33" s="120" t="s">
        <v>5</v>
      </c>
      <c r="R33" s="219" t="s">
        <v>5</v>
      </c>
      <c r="S33" s="180" t="s">
        <v>5</v>
      </c>
      <c r="T33" s="188" t="s">
        <v>5</v>
      </c>
      <c r="U33" s="67" t="s">
        <v>5</v>
      </c>
      <c r="V33" s="237" t="s">
        <v>5</v>
      </c>
      <c r="W33" s="40" t="str">
        <f t="shared" si="0"/>
        <v/>
      </c>
    </row>
    <row r="34" spans="1:23" ht="15.75" customHeight="1">
      <c r="A34" s="235" t="s">
        <v>72</v>
      </c>
      <c r="B34" s="253">
        <v>1</v>
      </c>
      <c r="C34" s="267" t="s">
        <v>8</v>
      </c>
      <c r="D34" s="254" t="s">
        <v>5</v>
      </c>
      <c r="E34" s="143">
        <f>(0.0611+0.015)*100</f>
        <v>7.61</v>
      </c>
      <c r="F34" s="133">
        <v>0</v>
      </c>
      <c r="G34" s="221">
        <v>111390</v>
      </c>
      <c r="H34" s="143">
        <f>0.0245*100</f>
        <v>2.4500000000000002</v>
      </c>
      <c r="I34" s="220">
        <f>G34</f>
        <v>111390</v>
      </c>
      <c r="J34" s="226" t="s">
        <v>5</v>
      </c>
      <c r="K34" s="174" t="s">
        <v>5</v>
      </c>
      <c r="L34" s="475" t="s">
        <v>5</v>
      </c>
      <c r="M34" s="226" t="s">
        <v>5</v>
      </c>
      <c r="N34" s="174" t="s">
        <v>5</v>
      </c>
      <c r="O34" s="475" t="s">
        <v>5</v>
      </c>
      <c r="P34" s="226" t="s">
        <v>5</v>
      </c>
      <c r="Q34" s="174" t="s">
        <v>5</v>
      </c>
      <c r="R34" s="475" t="s">
        <v>5</v>
      </c>
      <c r="S34" s="226" t="s">
        <v>5</v>
      </c>
      <c r="T34" s="188" t="s">
        <v>5</v>
      </c>
      <c r="U34" s="62" t="s">
        <v>6</v>
      </c>
      <c r="V34" s="236">
        <v>100</v>
      </c>
      <c r="W34" s="40" t="str">
        <f t="shared" si="0"/>
        <v>A</v>
      </c>
    </row>
    <row r="35" spans="1:23" ht="15.75" customHeight="1">
      <c r="A35" s="235" t="s">
        <v>72</v>
      </c>
      <c r="B35" s="253">
        <v>2</v>
      </c>
      <c r="C35" s="267" t="s">
        <v>8</v>
      </c>
      <c r="D35" s="254" t="s">
        <v>5</v>
      </c>
      <c r="E35" s="143">
        <f>0.09*100</f>
        <v>9</v>
      </c>
      <c r="F35" s="224" t="s">
        <v>5</v>
      </c>
      <c r="G35" s="225" t="s">
        <v>5</v>
      </c>
      <c r="H35" s="163" t="s">
        <v>5</v>
      </c>
      <c r="I35" s="395" t="s">
        <v>5</v>
      </c>
      <c r="J35" s="472" t="s">
        <v>5</v>
      </c>
      <c r="K35" s="163" t="s">
        <v>5</v>
      </c>
      <c r="L35" s="395" t="s">
        <v>5</v>
      </c>
      <c r="M35" s="472" t="s">
        <v>5</v>
      </c>
      <c r="N35" s="163" t="s">
        <v>5</v>
      </c>
      <c r="O35" s="395" t="s">
        <v>5</v>
      </c>
      <c r="P35" s="472" t="s">
        <v>5</v>
      </c>
      <c r="Q35" s="163" t="s">
        <v>5</v>
      </c>
      <c r="R35" s="395" t="s">
        <v>5</v>
      </c>
      <c r="S35" s="472" t="s">
        <v>5</v>
      </c>
      <c r="T35" s="188" t="s">
        <v>5</v>
      </c>
      <c r="U35" s="62" t="s">
        <v>6</v>
      </c>
      <c r="V35" s="236">
        <v>100</v>
      </c>
      <c r="W35" s="40" t="str">
        <f t="shared" si="0"/>
        <v>A</v>
      </c>
    </row>
    <row r="36" spans="1:23" ht="15.75" customHeight="1">
      <c r="A36" s="235" t="s">
        <v>17</v>
      </c>
      <c r="B36" s="253">
        <v>1</v>
      </c>
      <c r="C36" s="267" t="s">
        <v>7</v>
      </c>
      <c r="D36" s="254" t="s">
        <v>5</v>
      </c>
      <c r="E36" s="143">
        <f>0.11*100</f>
        <v>11</v>
      </c>
      <c r="F36" s="224" t="s">
        <v>5</v>
      </c>
      <c r="G36" s="225" t="s">
        <v>5</v>
      </c>
      <c r="H36" s="163" t="s">
        <v>5</v>
      </c>
      <c r="I36" s="395" t="s">
        <v>5</v>
      </c>
      <c r="J36" s="472" t="s">
        <v>5</v>
      </c>
      <c r="K36" s="163" t="s">
        <v>5</v>
      </c>
      <c r="L36" s="395" t="s">
        <v>5</v>
      </c>
      <c r="M36" s="472" t="s">
        <v>5</v>
      </c>
      <c r="N36" s="163" t="s">
        <v>5</v>
      </c>
      <c r="O36" s="395" t="s">
        <v>5</v>
      </c>
      <c r="P36" s="472" t="s">
        <v>5</v>
      </c>
      <c r="Q36" s="163" t="s">
        <v>5</v>
      </c>
      <c r="R36" s="395" t="s">
        <v>5</v>
      </c>
      <c r="S36" s="472" t="s">
        <v>5</v>
      </c>
      <c r="T36" s="188" t="s">
        <v>5</v>
      </c>
      <c r="U36" s="62" t="s">
        <v>6</v>
      </c>
      <c r="V36" s="236">
        <v>100</v>
      </c>
      <c r="W36" s="40" t="str">
        <f t="shared" si="0"/>
        <v>A</v>
      </c>
    </row>
    <row r="37" spans="1:23" ht="15.75" customHeight="1">
      <c r="A37" s="235" t="s">
        <v>51</v>
      </c>
      <c r="B37" s="253">
        <v>1</v>
      </c>
      <c r="C37" s="267" t="s">
        <v>7</v>
      </c>
      <c r="D37" s="255" t="s">
        <v>5</v>
      </c>
      <c r="E37" s="143">
        <v>13.4</v>
      </c>
      <c r="F37" s="133" t="str">
        <f>"["&amp;ROUND(337.7,1)&amp;"]"</f>
        <v>[337.7]</v>
      </c>
      <c r="G37" s="134">
        <f>47160/12</f>
        <v>3930</v>
      </c>
      <c r="H37" s="120" t="s">
        <v>5</v>
      </c>
      <c r="I37" s="219" t="s">
        <v>5</v>
      </c>
      <c r="J37" s="180" t="s">
        <v>5</v>
      </c>
      <c r="K37" s="120" t="s">
        <v>5</v>
      </c>
      <c r="L37" s="219" t="s">
        <v>5</v>
      </c>
      <c r="M37" s="180" t="s">
        <v>5</v>
      </c>
      <c r="N37" s="120" t="s">
        <v>5</v>
      </c>
      <c r="O37" s="219" t="s">
        <v>5</v>
      </c>
      <c r="P37" s="180" t="s">
        <v>5</v>
      </c>
      <c r="Q37" s="120" t="s">
        <v>5</v>
      </c>
      <c r="R37" s="219" t="s">
        <v>5</v>
      </c>
      <c r="S37" s="180" t="s">
        <v>5</v>
      </c>
      <c r="T37" s="188">
        <f>+G37*E37/100</f>
        <v>526.62</v>
      </c>
      <c r="U37" s="61" t="s">
        <v>6</v>
      </c>
      <c r="V37" s="238">
        <v>100</v>
      </c>
      <c r="W37" s="40" t="str">
        <f t="shared" si="0"/>
        <v>A</v>
      </c>
    </row>
    <row r="38" spans="1:23" ht="15.75" customHeight="1">
      <c r="A38" s="235" t="s">
        <v>59</v>
      </c>
      <c r="B38" s="253">
        <v>1</v>
      </c>
      <c r="C38" s="267" t="s">
        <v>7</v>
      </c>
      <c r="D38" s="254" t="s">
        <v>5</v>
      </c>
      <c r="E38" s="143">
        <f>0.221*100</f>
        <v>22.1</v>
      </c>
      <c r="F38" s="224" t="s">
        <v>5</v>
      </c>
      <c r="G38" s="225" t="s">
        <v>5</v>
      </c>
      <c r="H38" s="163" t="s">
        <v>5</v>
      </c>
      <c r="I38" s="395" t="s">
        <v>5</v>
      </c>
      <c r="J38" s="472" t="s">
        <v>5</v>
      </c>
      <c r="K38" s="163" t="s">
        <v>5</v>
      </c>
      <c r="L38" s="395" t="s">
        <v>5</v>
      </c>
      <c r="M38" s="472" t="s">
        <v>5</v>
      </c>
      <c r="N38" s="163" t="s">
        <v>5</v>
      </c>
      <c r="O38" s="395" t="s">
        <v>5</v>
      </c>
      <c r="P38" s="472" t="s">
        <v>5</v>
      </c>
      <c r="Q38" s="163" t="s">
        <v>5</v>
      </c>
      <c r="R38" s="395" t="s">
        <v>5</v>
      </c>
      <c r="S38" s="472" t="s">
        <v>5</v>
      </c>
      <c r="T38" s="188" t="s">
        <v>5</v>
      </c>
      <c r="U38" s="62" t="s">
        <v>6</v>
      </c>
      <c r="V38" s="236">
        <v>100</v>
      </c>
      <c r="W38" s="40" t="str">
        <f t="shared" si="0"/>
        <v>A</v>
      </c>
    </row>
    <row r="39" spans="1:23" ht="15.75" customHeight="1">
      <c r="A39" s="235" t="s">
        <v>213</v>
      </c>
      <c r="B39" s="253">
        <v>1</v>
      </c>
      <c r="C39" s="267" t="s">
        <v>8</v>
      </c>
      <c r="D39" s="254" t="s">
        <v>5</v>
      </c>
      <c r="E39" s="143">
        <f>(0.047+0.0155+0.001)*100</f>
        <v>6.35</v>
      </c>
      <c r="F39" s="133" t="s">
        <v>105</v>
      </c>
      <c r="G39" s="134">
        <v>41108.400000000001</v>
      </c>
      <c r="H39" s="120" t="s">
        <v>5</v>
      </c>
      <c r="I39" s="219" t="s">
        <v>5</v>
      </c>
      <c r="J39" s="180" t="s">
        <v>5</v>
      </c>
      <c r="K39" s="120" t="s">
        <v>5</v>
      </c>
      <c r="L39" s="219" t="s">
        <v>5</v>
      </c>
      <c r="M39" s="180" t="s">
        <v>5</v>
      </c>
      <c r="N39" s="120" t="s">
        <v>5</v>
      </c>
      <c r="O39" s="219" t="s">
        <v>5</v>
      </c>
      <c r="P39" s="180" t="s">
        <v>5</v>
      </c>
      <c r="Q39" s="120" t="s">
        <v>5</v>
      </c>
      <c r="R39" s="219" t="s">
        <v>5</v>
      </c>
      <c r="S39" s="180" t="s">
        <v>5</v>
      </c>
      <c r="T39" s="189">
        <f>G39*(E39/100)</f>
        <v>2610.3834000000002</v>
      </c>
      <c r="U39" s="62" t="s">
        <v>6</v>
      </c>
      <c r="V39" s="236">
        <v>100</v>
      </c>
      <c r="W39" s="40" t="str">
        <f t="shared" si="0"/>
        <v>A</v>
      </c>
    </row>
    <row r="40" spans="1:23" ht="15.75" customHeight="1">
      <c r="A40" s="235" t="s">
        <v>73</v>
      </c>
      <c r="B40" s="253">
        <v>1</v>
      </c>
      <c r="C40" s="267" t="s">
        <v>8</v>
      </c>
      <c r="D40" s="254" t="s">
        <v>5</v>
      </c>
      <c r="E40" s="143">
        <f>0.07*100</f>
        <v>7.0000000000000009</v>
      </c>
      <c r="F40" s="133" t="str">
        <f>"["&amp;0.423*44500&amp;"]"</f>
        <v>[18823.5]</v>
      </c>
      <c r="G40" s="134">
        <f>8.07*56600</f>
        <v>456762</v>
      </c>
      <c r="H40" s="120" t="s">
        <v>5</v>
      </c>
      <c r="I40" s="219" t="s">
        <v>5</v>
      </c>
      <c r="J40" s="180" t="s">
        <v>5</v>
      </c>
      <c r="K40" s="120" t="s">
        <v>5</v>
      </c>
      <c r="L40" s="219" t="s">
        <v>5</v>
      </c>
      <c r="M40" s="180" t="s">
        <v>5</v>
      </c>
      <c r="N40" s="120" t="s">
        <v>5</v>
      </c>
      <c r="O40" s="219" t="s">
        <v>5</v>
      </c>
      <c r="P40" s="180" t="s">
        <v>5</v>
      </c>
      <c r="Q40" s="120" t="s">
        <v>5</v>
      </c>
      <c r="R40" s="219" t="s">
        <v>5</v>
      </c>
      <c r="S40" s="180" t="s">
        <v>5</v>
      </c>
      <c r="T40" s="189">
        <f>ROUND(E40*G40/100,-2)</f>
        <v>32000</v>
      </c>
      <c r="U40" s="62" t="s">
        <v>28</v>
      </c>
      <c r="V40" s="236">
        <v>100</v>
      </c>
      <c r="W40" s="40" t="str">
        <f t="shared" si="0"/>
        <v>C</v>
      </c>
    </row>
    <row r="41" spans="1:23" ht="15.75" customHeight="1">
      <c r="A41" s="235" t="s">
        <v>74</v>
      </c>
      <c r="B41" s="253">
        <v>1</v>
      </c>
      <c r="C41" s="267" t="s">
        <v>8</v>
      </c>
      <c r="D41" s="254" t="s">
        <v>5</v>
      </c>
      <c r="E41" s="143">
        <f>(0.011*100)+K41</f>
        <v>6.2499999999999991</v>
      </c>
      <c r="F41" s="224">
        <v>0</v>
      </c>
      <c r="G41" s="140">
        <v>126000</v>
      </c>
      <c r="H41" s="143">
        <f>(0.005*100)+K41</f>
        <v>5.6499999999999995</v>
      </c>
      <c r="I41" s="139">
        <f>G41</f>
        <v>126000</v>
      </c>
      <c r="J41" s="142">
        <v>315000</v>
      </c>
      <c r="K41" s="143">
        <f>0.0515*100</f>
        <v>5.1499999999999995</v>
      </c>
      <c r="L41" s="139">
        <f>J41</f>
        <v>315000</v>
      </c>
      <c r="M41" s="142" t="s">
        <v>5</v>
      </c>
      <c r="N41" s="121" t="s">
        <v>5</v>
      </c>
      <c r="O41" s="218" t="s">
        <v>5</v>
      </c>
      <c r="P41" s="142" t="s">
        <v>5</v>
      </c>
      <c r="Q41" s="121" t="s">
        <v>5</v>
      </c>
      <c r="R41" s="218" t="s">
        <v>5</v>
      </c>
      <c r="S41" s="142" t="s">
        <v>5</v>
      </c>
      <c r="T41" s="188" t="s">
        <v>5</v>
      </c>
      <c r="U41" s="62" t="s">
        <v>6</v>
      </c>
      <c r="V41" s="236">
        <v>100</v>
      </c>
      <c r="W41" s="40" t="str">
        <f t="shared" si="0"/>
        <v>A</v>
      </c>
    </row>
    <row r="42" spans="1:23" ht="15.75" customHeight="1">
      <c r="A42" s="235" t="s">
        <v>43</v>
      </c>
      <c r="B42" s="253">
        <v>1</v>
      </c>
      <c r="C42" s="267" t="s">
        <v>8</v>
      </c>
      <c r="D42" s="254" t="s">
        <v>5</v>
      </c>
      <c r="E42" s="143">
        <f>0.15*100</f>
        <v>15</v>
      </c>
      <c r="F42" s="224" t="s">
        <v>106</v>
      </c>
      <c r="G42" s="225">
        <v>78005</v>
      </c>
      <c r="H42" s="163" t="s">
        <v>5</v>
      </c>
      <c r="I42" s="395" t="s">
        <v>5</v>
      </c>
      <c r="J42" s="472" t="s">
        <v>5</v>
      </c>
      <c r="K42" s="163" t="s">
        <v>5</v>
      </c>
      <c r="L42" s="395" t="s">
        <v>5</v>
      </c>
      <c r="M42" s="472" t="s">
        <v>5</v>
      </c>
      <c r="N42" s="163" t="s">
        <v>5</v>
      </c>
      <c r="O42" s="395" t="s">
        <v>5</v>
      </c>
      <c r="P42" s="472" t="s">
        <v>5</v>
      </c>
      <c r="Q42" s="163" t="s">
        <v>5</v>
      </c>
      <c r="R42" s="395" t="s">
        <v>5</v>
      </c>
      <c r="S42" s="472" t="s">
        <v>5</v>
      </c>
      <c r="T42" s="189">
        <f>G42*E42/100</f>
        <v>11700.75</v>
      </c>
      <c r="U42" s="62" t="s">
        <v>6</v>
      </c>
      <c r="V42" s="236">
        <v>100</v>
      </c>
      <c r="W42" s="40" t="str">
        <f t="shared" si="0"/>
        <v>A</v>
      </c>
    </row>
    <row r="43" spans="1:23" ht="15.75" customHeight="1">
      <c r="A43" s="235" t="s">
        <v>47</v>
      </c>
      <c r="B43" s="253">
        <v>1</v>
      </c>
      <c r="C43" s="267" t="s">
        <v>19</v>
      </c>
      <c r="D43" s="254" t="s">
        <v>5</v>
      </c>
      <c r="E43" s="143">
        <f>0.12*100</f>
        <v>12</v>
      </c>
      <c r="F43" s="224">
        <f>7755/52</f>
        <v>149.13461538461539</v>
      </c>
      <c r="G43" s="225">
        <f>41450/52</f>
        <v>797.11538461538464</v>
      </c>
      <c r="H43" s="143">
        <f>0.02*100</f>
        <v>2</v>
      </c>
      <c r="I43" s="224">
        <f>G43</f>
        <v>797.11538461538464</v>
      </c>
      <c r="J43" s="225" t="s">
        <v>5</v>
      </c>
      <c r="K43" s="163" t="s">
        <v>5</v>
      </c>
      <c r="L43" s="395" t="s">
        <v>5</v>
      </c>
      <c r="M43" s="472" t="s">
        <v>5</v>
      </c>
      <c r="N43" s="163" t="s">
        <v>5</v>
      </c>
      <c r="O43" s="395" t="s">
        <v>5</v>
      </c>
      <c r="P43" s="472" t="s">
        <v>5</v>
      </c>
      <c r="Q43" s="163" t="s">
        <v>5</v>
      </c>
      <c r="R43" s="395" t="s">
        <v>5</v>
      </c>
      <c r="S43" s="472" t="s">
        <v>5</v>
      </c>
      <c r="T43" s="136" t="s">
        <v>5</v>
      </c>
      <c r="U43" s="239" t="s">
        <v>5</v>
      </c>
      <c r="V43" s="237" t="s">
        <v>5</v>
      </c>
      <c r="W43" s="40" t="str">
        <f t="shared" si="0"/>
        <v/>
      </c>
    </row>
    <row r="44" spans="1:23" ht="15.75" customHeight="1">
      <c r="A44" s="246" t="s">
        <v>20</v>
      </c>
      <c r="B44" s="262">
        <v>1</v>
      </c>
      <c r="C44" s="269" t="s">
        <v>8</v>
      </c>
      <c r="D44" s="263" t="s">
        <v>5</v>
      </c>
      <c r="E44" s="247">
        <f>(0.062*100)+H44</f>
        <v>7.65</v>
      </c>
      <c r="F44" s="149">
        <v>0</v>
      </c>
      <c r="G44" s="138">
        <v>113700</v>
      </c>
      <c r="H44" s="247">
        <f>0.0145*100</f>
        <v>1.4500000000000002</v>
      </c>
      <c r="I44" s="137">
        <f>G44</f>
        <v>113700</v>
      </c>
      <c r="J44" s="125" t="s">
        <v>5</v>
      </c>
      <c r="K44" s="476" t="s">
        <v>5</v>
      </c>
      <c r="L44" s="477" t="s">
        <v>5</v>
      </c>
      <c r="M44" s="125" t="s">
        <v>5</v>
      </c>
      <c r="N44" s="476" t="s">
        <v>5</v>
      </c>
      <c r="O44" s="477" t="s">
        <v>5</v>
      </c>
      <c r="P44" s="125" t="s">
        <v>5</v>
      </c>
      <c r="Q44" s="476" t="s">
        <v>5</v>
      </c>
      <c r="R44" s="477" t="s">
        <v>5</v>
      </c>
      <c r="S44" s="125" t="s">
        <v>5</v>
      </c>
      <c r="T44" s="273" t="s">
        <v>5</v>
      </c>
      <c r="U44" s="249" t="s">
        <v>5</v>
      </c>
      <c r="V44" s="250" t="s">
        <v>5</v>
      </c>
      <c r="W44" s="40" t="str">
        <f t="shared" si="0"/>
        <v/>
      </c>
    </row>
    <row r="45" spans="1:23" ht="15.75" customHeight="1">
      <c r="A45" s="176"/>
      <c r="B45" s="25"/>
      <c r="C45" s="62"/>
      <c r="D45" s="65"/>
      <c r="E45" s="63"/>
      <c r="F45" s="87"/>
      <c r="G45" s="35"/>
      <c r="H45" s="35"/>
      <c r="I45" s="35"/>
      <c r="J45" s="35"/>
      <c r="K45" s="35"/>
      <c r="L45" s="35"/>
      <c r="M45" s="35"/>
      <c r="N45" s="35"/>
      <c r="O45" s="35"/>
      <c r="P45" s="35"/>
      <c r="Q45" s="35"/>
      <c r="R45" s="35"/>
      <c r="S45" s="35"/>
      <c r="T45" s="64"/>
      <c r="U45" s="67"/>
      <c r="V45" s="68"/>
      <c r="W45" s="40">
        <f t="shared" si="0"/>
        <v>0</v>
      </c>
    </row>
    <row r="46" spans="1:23" s="75" customFormat="1" ht="12.75" customHeight="1">
      <c r="A46" s="535" t="s">
        <v>94</v>
      </c>
      <c r="B46" s="535"/>
      <c r="C46" s="535"/>
      <c r="D46" s="535"/>
      <c r="E46" s="535"/>
      <c r="F46" s="535"/>
      <c r="G46" s="535"/>
      <c r="H46" s="535"/>
      <c r="I46" s="535"/>
      <c r="J46" s="535"/>
      <c r="K46" s="535"/>
      <c r="L46" s="535"/>
      <c r="M46" s="535"/>
      <c r="N46" s="535"/>
      <c r="O46" s="535"/>
      <c r="P46" s="535"/>
      <c r="Q46" s="535"/>
      <c r="R46" s="535"/>
      <c r="S46" s="535"/>
      <c r="T46" s="535"/>
      <c r="U46" s="535"/>
      <c r="V46" s="535"/>
      <c r="W46" s="40">
        <f t="shared" si="0"/>
        <v>0</v>
      </c>
    </row>
    <row r="47" spans="1:23" s="76" customFormat="1" ht="12.75" customHeight="1">
      <c r="A47" s="539" t="s">
        <v>95</v>
      </c>
      <c r="B47" s="539"/>
      <c r="C47" s="539"/>
      <c r="D47" s="539"/>
      <c r="E47" s="539"/>
      <c r="F47" s="539"/>
      <c r="G47" s="539"/>
      <c r="H47" s="539"/>
      <c r="I47" s="539"/>
      <c r="J47" s="539"/>
      <c r="K47" s="539"/>
      <c r="L47" s="539"/>
      <c r="M47" s="539"/>
      <c r="N47" s="539"/>
      <c r="O47" s="539"/>
      <c r="P47" s="539"/>
      <c r="Q47" s="539"/>
      <c r="R47" s="539"/>
      <c r="S47" s="539"/>
      <c r="T47" s="539"/>
      <c r="U47" s="539"/>
      <c r="V47" s="539"/>
      <c r="W47" s="40">
        <f t="shared" si="0"/>
        <v>0</v>
      </c>
    </row>
    <row r="48" spans="1:23" s="76" customFormat="1" ht="12.75" customHeight="1">
      <c r="A48" s="539" t="s">
        <v>107</v>
      </c>
      <c r="B48" s="539"/>
      <c r="C48" s="539"/>
      <c r="D48" s="539"/>
      <c r="E48" s="539"/>
      <c r="F48" s="539"/>
      <c r="G48" s="539"/>
      <c r="H48" s="539"/>
      <c r="I48" s="539"/>
      <c r="J48" s="539"/>
      <c r="K48" s="539"/>
      <c r="L48" s="539"/>
      <c r="M48" s="539"/>
      <c r="N48" s="539"/>
      <c r="O48" s="539"/>
      <c r="P48" s="539"/>
      <c r="Q48" s="539"/>
      <c r="R48" s="539"/>
      <c r="S48" s="539"/>
      <c r="T48" s="539"/>
      <c r="U48" s="539"/>
      <c r="V48" s="539"/>
      <c r="W48" s="40"/>
    </row>
    <row r="49" spans="1:33" s="76" customFormat="1" ht="12.75" customHeight="1">
      <c r="A49" s="539" t="s">
        <v>108</v>
      </c>
      <c r="B49" s="539"/>
      <c r="C49" s="539"/>
      <c r="D49" s="539"/>
      <c r="E49" s="539"/>
      <c r="F49" s="539"/>
      <c r="G49" s="539"/>
      <c r="H49" s="539"/>
      <c r="I49" s="539"/>
      <c r="J49" s="539"/>
      <c r="K49" s="539"/>
      <c r="L49" s="539"/>
      <c r="M49" s="539"/>
      <c r="N49" s="539"/>
      <c r="O49" s="539"/>
      <c r="P49" s="539"/>
      <c r="Q49" s="539"/>
      <c r="R49" s="539"/>
      <c r="S49" s="539"/>
      <c r="T49" s="539"/>
      <c r="U49" s="539"/>
      <c r="V49" s="539"/>
    </row>
    <row r="50" spans="1:33" s="76" customFormat="1" ht="12.75" customHeight="1">
      <c r="A50" s="516" t="s">
        <v>1</v>
      </c>
      <c r="B50" s="84" t="s">
        <v>122</v>
      </c>
      <c r="C50" s="509" t="s">
        <v>123</v>
      </c>
      <c r="D50" s="103"/>
      <c r="E50" s="103"/>
      <c r="F50" s="104"/>
      <c r="U50" s="77"/>
      <c r="V50" s="77"/>
    </row>
    <row r="51" spans="1:33" s="76" customFormat="1" ht="12.75" customHeight="1">
      <c r="A51" s="517"/>
      <c r="B51" s="85" t="s">
        <v>124</v>
      </c>
      <c r="C51" s="510" t="s">
        <v>126</v>
      </c>
      <c r="D51" s="105"/>
      <c r="E51" s="105"/>
      <c r="F51" s="106"/>
      <c r="U51" s="83"/>
      <c r="V51" s="83"/>
    </row>
    <row r="52" spans="1:33" s="76" customFormat="1" ht="12.75" customHeight="1">
      <c r="A52" s="517"/>
      <c r="B52" s="86" t="s">
        <v>125</v>
      </c>
      <c r="C52" s="511" t="s">
        <v>136</v>
      </c>
      <c r="D52" s="107"/>
      <c r="E52" s="107"/>
      <c r="F52" s="108"/>
      <c r="U52" s="83"/>
      <c r="V52" s="83"/>
    </row>
    <row r="53" spans="1:33" s="76" customFormat="1" ht="12.75" customHeight="1">
      <c r="A53" s="517"/>
      <c r="C53" s="78"/>
      <c r="D53" s="93"/>
      <c r="E53" s="93"/>
      <c r="F53" s="93"/>
      <c r="U53" s="83"/>
      <c r="V53" s="83"/>
    </row>
    <row r="54" spans="1:33" s="76" customFormat="1" ht="12.75" customHeight="1">
      <c r="A54" s="518" t="s">
        <v>127</v>
      </c>
      <c r="B54" s="84" t="s">
        <v>128</v>
      </c>
      <c r="C54" s="509" t="s">
        <v>129</v>
      </c>
      <c r="D54" s="103"/>
      <c r="E54" s="103"/>
      <c r="F54" s="104"/>
      <c r="U54" s="77"/>
      <c r="V54" s="77"/>
    </row>
    <row r="55" spans="1:33" s="76" customFormat="1" ht="12.75" customHeight="1">
      <c r="A55" s="517"/>
      <c r="B55" s="85" t="s">
        <v>130</v>
      </c>
      <c r="C55" s="510" t="s">
        <v>133</v>
      </c>
      <c r="D55" s="105"/>
      <c r="E55" s="105"/>
      <c r="F55" s="106"/>
      <c r="U55" s="83"/>
      <c r="V55" s="83"/>
    </row>
    <row r="56" spans="1:33" s="76" customFormat="1" ht="12.75" customHeight="1">
      <c r="A56" s="517"/>
      <c r="B56" s="85" t="s">
        <v>131</v>
      </c>
      <c r="C56" s="510" t="s">
        <v>132</v>
      </c>
      <c r="D56" s="105"/>
      <c r="E56" s="105"/>
      <c r="F56" s="106"/>
      <c r="U56" s="83"/>
      <c r="V56" s="83"/>
    </row>
    <row r="57" spans="1:33" s="76" customFormat="1" ht="12.75" customHeight="1">
      <c r="A57" s="517"/>
      <c r="B57" s="85" t="s">
        <v>134</v>
      </c>
      <c r="C57" s="510" t="s">
        <v>135</v>
      </c>
      <c r="D57" s="105"/>
      <c r="E57" s="105"/>
      <c r="F57" s="106"/>
      <c r="U57" s="83"/>
      <c r="V57" s="83"/>
    </row>
    <row r="58" spans="1:33" s="76" customFormat="1" ht="12.75" customHeight="1">
      <c r="A58" s="519"/>
      <c r="B58" s="86" t="s">
        <v>28</v>
      </c>
      <c r="C58" s="511" t="s">
        <v>214</v>
      </c>
      <c r="D58" s="109"/>
      <c r="E58" s="109"/>
      <c r="F58" s="110"/>
      <c r="U58" s="83"/>
      <c r="V58" s="83"/>
    </row>
    <row r="59" spans="1:33" s="76" customFormat="1" ht="12.75" customHeight="1">
      <c r="A59" s="520"/>
      <c r="C59" s="78"/>
      <c r="D59" s="83"/>
      <c r="F59" s="83"/>
      <c r="G59" s="83"/>
      <c r="H59" s="83"/>
      <c r="I59" s="83"/>
      <c r="J59" s="83"/>
      <c r="K59" s="83"/>
      <c r="L59" s="83"/>
      <c r="M59" s="83"/>
      <c r="N59" s="83"/>
      <c r="O59" s="83"/>
      <c r="P59" s="83"/>
      <c r="Q59" s="83"/>
      <c r="R59" s="83"/>
      <c r="S59" s="83"/>
      <c r="T59" s="83"/>
      <c r="U59" s="83"/>
      <c r="V59" s="83"/>
    </row>
    <row r="60" spans="1:33" s="76" customFormat="1" ht="20.25" customHeight="1">
      <c r="A60" s="540" t="s">
        <v>96</v>
      </c>
      <c r="B60" s="540"/>
      <c r="C60" s="540"/>
      <c r="D60" s="540"/>
      <c r="E60" s="540"/>
      <c r="F60" s="540"/>
      <c r="G60" s="540"/>
      <c r="H60" s="540"/>
      <c r="I60" s="540"/>
      <c r="J60" s="540"/>
      <c r="K60" s="540"/>
      <c r="L60" s="540"/>
      <c r="M60" s="540"/>
      <c r="N60" s="540"/>
      <c r="O60" s="540"/>
      <c r="P60" s="540"/>
      <c r="Q60" s="540"/>
      <c r="R60" s="540"/>
      <c r="S60" s="540"/>
      <c r="T60" s="540"/>
      <c r="U60" s="540"/>
      <c r="V60" s="540"/>
    </row>
    <row r="61" spans="1:33" s="76" customFormat="1" ht="17.25" customHeight="1">
      <c r="A61" s="539" t="s">
        <v>97</v>
      </c>
      <c r="B61" s="539"/>
      <c r="C61" s="539"/>
      <c r="D61" s="539"/>
      <c r="E61" s="539"/>
      <c r="F61" s="539"/>
      <c r="G61" s="539"/>
      <c r="H61" s="539"/>
      <c r="I61" s="539"/>
      <c r="J61" s="539"/>
      <c r="K61" s="539"/>
      <c r="L61" s="539"/>
      <c r="M61" s="539"/>
      <c r="N61" s="539"/>
      <c r="O61" s="539"/>
      <c r="P61" s="539"/>
      <c r="Q61" s="539"/>
      <c r="R61" s="539"/>
      <c r="S61" s="539"/>
      <c r="T61" s="539"/>
      <c r="U61" s="539"/>
      <c r="V61" s="539"/>
    </row>
    <row r="62" spans="1:33" s="76" customFormat="1" ht="22.5" customHeight="1">
      <c r="A62" s="521" t="s">
        <v>98</v>
      </c>
      <c r="B62" s="177"/>
      <c r="C62" s="512"/>
      <c r="D62" s="177"/>
      <c r="E62" s="177"/>
      <c r="F62" s="177"/>
      <c r="G62" s="177"/>
      <c r="H62" s="177"/>
      <c r="I62" s="177"/>
      <c r="J62" s="177"/>
      <c r="K62" s="177"/>
      <c r="L62" s="177"/>
      <c r="M62" s="177"/>
      <c r="N62" s="177"/>
      <c r="O62" s="177"/>
      <c r="P62" s="177"/>
      <c r="Q62" s="177"/>
      <c r="R62" s="177"/>
      <c r="S62" s="177"/>
      <c r="T62" s="177"/>
      <c r="U62" s="177"/>
      <c r="V62" s="177"/>
    </row>
    <row r="63" spans="1:33" s="76" customFormat="1" ht="50.25" customHeight="1">
      <c r="A63" s="539" t="s">
        <v>238</v>
      </c>
      <c r="B63" s="539"/>
      <c r="C63" s="539"/>
      <c r="D63" s="539"/>
      <c r="E63" s="539"/>
      <c r="F63" s="539"/>
      <c r="G63" s="539"/>
      <c r="H63" s="539"/>
      <c r="I63" s="539"/>
      <c r="J63" s="539"/>
      <c r="K63" s="539"/>
      <c r="L63" s="539"/>
      <c r="M63" s="539"/>
      <c r="N63" s="539"/>
      <c r="O63" s="539"/>
      <c r="P63" s="539"/>
      <c r="Q63" s="539"/>
      <c r="R63" s="539"/>
      <c r="S63" s="539"/>
      <c r="T63" s="539"/>
      <c r="U63" s="539"/>
      <c r="V63" s="539"/>
      <c r="W63" s="83"/>
      <c r="X63" s="83"/>
      <c r="Y63" s="83"/>
      <c r="Z63" s="83"/>
      <c r="AA63" s="83"/>
      <c r="AB63" s="83"/>
      <c r="AC63" s="83"/>
      <c r="AD63" s="83"/>
      <c r="AE63" s="83"/>
      <c r="AF63" s="83"/>
      <c r="AG63" s="83"/>
    </row>
    <row r="64" spans="1:33" s="76" customFormat="1" ht="22.5" customHeight="1">
      <c r="A64" s="539" t="s">
        <v>226</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35.25" customHeight="1">
      <c r="A65" s="539" t="s">
        <v>227</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65.25" customHeight="1">
      <c r="A66" s="539" t="s">
        <v>228</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132" customHeight="1">
      <c r="A67" s="539" t="s">
        <v>229</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50.25" customHeight="1">
      <c r="A68" s="539" t="s">
        <v>230</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25.5" customHeight="1">
      <c r="A69" s="542" t="s">
        <v>99</v>
      </c>
      <c r="B69" s="542"/>
      <c r="C69" s="542"/>
      <c r="D69" s="542"/>
      <c r="E69" s="542"/>
      <c r="F69" s="542"/>
      <c r="G69" s="542"/>
      <c r="H69" s="542"/>
      <c r="I69" s="542"/>
      <c r="J69" s="542"/>
      <c r="K69" s="542"/>
      <c r="L69" s="542"/>
      <c r="M69" s="542"/>
      <c r="N69" s="542"/>
      <c r="O69" s="542"/>
      <c r="P69" s="542"/>
      <c r="Q69" s="542"/>
      <c r="R69" s="542"/>
      <c r="S69" s="542"/>
      <c r="T69" s="542"/>
      <c r="U69" s="542"/>
      <c r="V69" s="542"/>
    </row>
    <row r="70" spans="1:33" s="76" customFormat="1" ht="25.5" customHeight="1">
      <c r="A70" s="540" t="s">
        <v>259</v>
      </c>
      <c r="B70" s="540"/>
      <c r="C70" s="540"/>
      <c r="D70" s="540"/>
      <c r="E70" s="540"/>
      <c r="F70" s="540"/>
      <c r="G70" s="540"/>
      <c r="H70" s="540"/>
      <c r="I70" s="540"/>
      <c r="J70" s="540"/>
      <c r="K70" s="540"/>
      <c r="L70" s="540"/>
      <c r="M70" s="540"/>
      <c r="N70" s="540"/>
      <c r="O70" s="540"/>
      <c r="P70" s="540"/>
      <c r="Q70" s="540"/>
      <c r="R70" s="540"/>
      <c r="S70" s="540"/>
      <c r="T70" s="540"/>
      <c r="U70" s="540"/>
      <c r="V70" s="540"/>
    </row>
    <row r="71" spans="1:33" s="76" customFormat="1" ht="39.75" customHeight="1">
      <c r="A71" s="540" t="s">
        <v>109</v>
      </c>
      <c r="B71" s="540"/>
      <c r="C71" s="540"/>
      <c r="D71" s="540"/>
      <c r="E71" s="540"/>
      <c r="F71" s="540"/>
      <c r="G71" s="540"/>
      <c r="H71" s="540"/>
      <c r="I71" s="540"/>
      <c r="J71" s="540"/>
      <c r="K71" s="540"/>
      <c r="L71" s="540"/>
      <c r="M71" s="540"/>
      <c r="N71" s="540"/>
      <c r="O71" s="540"/>
      <c r="P71" s="540"/>
      <c r="Q71" s="540"/>
      <c r="R71" s="540"/>
      <c r="S71" s="540"/>
      <c r="T71" s="540"/>
      <c r="U71" s="540"/>
      <c r="V71" s="540"/>
    </row>
    <row r="72" spans="1:33" s="76" customFormat="1" ht="47.25" customHeight="1">
      <c r="A72" s="540" t="s">
        <v>205</v>
      </c>
      <c r="B72" s="540"/>
      <c r="C72" s="540"/>
      <c r="D72" s="540"/>
      <c r="E72" s="540"/>
      <c r="F72" s="540"/>
      <c r="G72" s="540"/>
      <c r="H72" s="540"/>
      <c r="I72" s="540"/>
      <c r="J72" s="540"/>
      <c r="K72" s="540"/>
      <c r="L72" s="540"/>
      <c r="M72" s="540"/>
      <c r="N72" s="540"/>
      <c r="O72" s="540"/>
      <c r="P72" s="540"/>
      <c r="Q72" s="540"/>
      <c r="R72" s="540"/>
      <c r="S72" s="540"/>
      <c r="T72" s="540"/>
      <c r="U72" s="540"/>
      <c r="V72" s="540"/>
    </row>
    <row r="73" spans="1:33" s="76" customFormat="1" ht="32.25" customHeight="1">
      <c r="A73" s="540" t="s">
        <v>110</v>
      </c>
      <c r="B73" s="540"/>
      <c r="C73" s="540"/>
      <c r="D73" s="540"/>
      <c r="E73" s="540"/>
      <c r="F73" s="540"/>
      <c r="G73" s="540"/>
      <c r="H73" s="540"/>
      <c r="I73" s="540"/>
      <c r="J73" s="540"/>
      <c r="K73" s="540"/>
      <c r="L73" s="540"/>
      <c r="M73" s="540"/>
      <c r="N73" s="540"/>
      <c r="O73" s="540"/>
      <c r="P73" s="540"/>
      <c r="Q73" s="540"/>
      <c r="R73" s="540"/>
      <c r="S73" s="540"/>
      <c r="T73" s="540"/>
      <c r="U73" s="540"/>
      <c r="V73" s="540"/>
    </row>
    <row r="74" spans="1:33" s="76" customFormat="1" ht="47.25" customHeight="1">
      <c r="A74" s="540" t="s">
        <v>111</v>
      </c>
      <c r="B74" s="540"/>
      <c r="C74" s="540"/>
      <c r="D74" s="540"/>
      <c r="E74" s="540"/>
      <c r="F74" s="540"/>
      <c r="G74" s="540"/>
      <c r="H74" s="540"/>
      <c r="I74" s="540"/>
      <c r="J74" s="540"/>
      <c r="K74" s="540"/>
      <c r="L74" s="540"/>
      <c r="M74" s="540"/>
      <c r="N74" s="540"/>
      <c r="O74" s="540"/>
      <c r="P74" s="540"/>
      <c r="Q74" s="540"/>
      <c r="R74" s="540"/>
      <c r="S74" s="540"/>
      <c r="T74" s="540"/>
      <c r="U74" s="540"/>
      <c r="V74" s="540"/>
    </row>
    <row r="75" spans="1:33" s="76" customFormat="1" ht="20.25" customHeight="1">
      <c r="A75" s="540" t="s">
        <v>112</v>
      </c>
      <c r="B75" s="540"/>
      <c r="C75" s="540"/>
      <c r="D75" s="540"/>
      <c r="E75" s="540"/>
      <c r="F75" s="540"/>
      <c r="G75" s="540"/>
      <c r="H75" s="540"/>
      <c r="I75" s="540"/>
      <c r="J75" s="540"/>
      <c r="K75" s="540"/>
      <c r="L75" s="540"/>
      <c r="M75" s="540"/>
      <c r="N75" s="540"/>
      <c r="O75" s="540"/>
      <c r="P75" s="540"/>
      <c r="Q75" s="540"/>
      <c r="R75" s="540"/>
      <c r="S75" s="540"/>
      <c r="T75" s="540"/>
      <c r="U75" s="540"/>
      <c r="V75" s="540"/>
    </row>
    <row r="76" spans="1:33" s="76" customFormat="1" ht="20.25" customHeight="1">
      <c r="A76" s="540" t="s">
        <v>217</v>
      </c>
      <c r="B76" s="540"/>
      <c r="C76" s="540"/>
      <c r="D76" s="540"/>
      <c r="E76" s="540"/>
      <c r="F76" s="540"/>
      <c r="G76" s="540"/>
      <c r="H76" s="540"/>
      <c r="I76" s="540"/>
      <c r="J76" s="540"/>
      <c r="K76" s="540"/>
      <c r="L76" s="540"/>
      <c r="M76" s="540"/>
      <c r="N76" s="540"/>
      <c r="O76" s="540"/>
      <c r="P76" s="540"/>
      <c r="Q76" s="540"/>
      <c r="R76" s="540"/>
      <c r="S76" s="540"/>
      <c r="T76" s="540"/>
      <c r="U76" s="540"/>
      <c r="V76" s="540"/>
    </row>
    <row r="77" spans="1:33" s="76" customFormat="1" ht="21.75" customHeight="1">
      <c r="A77" s="540" t="s">
        <v>207</v>
      </c>
      <c r="B77" s="540"/>
      <c r="C77" s="540"/>
      <c r="D77" s="540"/>
      <c r="E77" s="540"/>
      <c r="F77" s="540"/>
      <c r="G77" s="540"/>
      <c r="H77" s="540"/>
      <c r="I77" s="540"/>
      <c r="J77" s="540"/>
      <c r="K77" s="540"/>
      <c r="L77" s="540"/>
      <c r="M77" s="540"/>
      <c r="N77" s="540"/>
      <c r="O77" s="540"/>
      <c r="P77" s="540"/>
      <c r="Q77" s="540"/>
      <c r="R77" s="540"/>
      <c r="S77" s="540"/>
      <c r="T77" s="540"/>
      <c r="U77" s="540"/>
      <c r="V77" s="540"/>
    </row>
    <row r="78" spans="1:33" s="76" customFormat="1" ht="47.25" customHeight="1">
      <c r="A78" s="540" t="s">
        <v>113</v>
      </c>
      <c r="B78" s="540"/>
      <c r="C78" s="540"/>
      <c r="D78" s="540"/>
      <c r="E78" s="540"/>
      <c r="F78" s="540"/>
      <c r="G78" s="540"/>
      <c r="H78" s="540"/>
      <c r="I78" s="540"/>
      <c r="J78" s="540"/>
      <c r="K78" s="540"/>
      <c r="L78" s="540"/>
      <c r="M78" s="540"/>
      <c r="N78" s="540"/>
      <c r="O78" s="540"/>
      <c r="P78" s="540"/>
      <c r="Q78" s="540"/>
      <c r="R78" s="540"/>
      <c r="S78" s="540"/>
      <c r="T78" s="540"/>
      <c r="U78" s="540"/>
      <c r="V78" s="540"/>
    </row>
    <row r="79" spans="1:33" s="76" customFormat="1" ht="35.25" customHeight="1">
      <c r="A79" s="540" t="s">
        <v>209</v>
      </c>
      <c r="B79" s="540"/>
      <c r="C79" s="540"/>
      <c r="D79" s="540"/>
      <c r="E79" s="540"/>
      <c r="F79" s="540"/>
      <c r="G79" s="540"/>
      <c r="H79" s="540"/>
      <c r="I79" s="540"/>
      <c r="J79" s="540"/>
      <c r="K79" s="540"/>
      <c r="L79" s="540"/>
      <c r="M79" s="540"/>
      <c r="N79" s="540"/>
      <c r="O79" s="540"/>
      <c r="P79" s="540"/>
      <c r="Q79" s="540"/>
      <c r="R79" s="540"/>
      <c r="S79" s="540"/>
      <c r="T79" s="540"/>
      <c r="U79" s="540"/>
      <c r="V79" s="540"/>
    </row>
    <row r="80" spans="1:33" s="76" customFormat="1" ht="24" customHeight="1">
      <c r="A80" s="540" t="s">
        <v>114</v>
      </c>
      <c r="B80" s="540"/>
      <c r="C80" s="540"/>
      <c r="D80" s="540"/>
      <c r="E80" s="540"/>
      <c r="F80" s="540"/>
      <c r="G80" s="540"/>
      <c r="H80" s="540"/>
      <c r="I80" s="540"/>
      <c r="J80" s="540"/>
      <c r="K80" s="540"/>
      <c r="L80" s="540"/>
      <c r="M80" s="540"/>
      <c r="N80" s="540"/>
      <c r="O80" s="540"/>
      <c r="P80" s="540"/>
      <c r="Q80" s="540"/>
      <c r="R80" s="540"/>
      <c r="S80" s="540"/>
      <c r="T80" s="540"/>
      <c r="U80" s="540"/>
      <c r="V80" s="540"/>
    </row>
    <row r="81" spans="1:22" s="76" customFormat="1" ht="47.25" customHeight="1">
      <c r="A81" s="540" t="s">
        <v>115</v>
      </c>
      <c r="B81" s="540"/>
      <c r="C81" s="540"/>
      <c r="D81" s="540"/>
      <c r="E81" s="540"/>
      <c r="F81" s="540"/>
      <c r="G81" s="540"/>
      <c r="H81" s="540"/>
      <c r="I81" s="540"/>
      <c r="J81" s="540"/>
      <c r="K81" s="540"/>
      <c r="L81" s="540"/>
      <c r="M81" s="540"/>
      <c r="N81" s="540"/>
      <c r="O81" s="540"/>
      <c r="P81" s="540"/>
      <c r="Q81" s="540"/>
      <c r="R81" s="540"/>
      <c r="S81" s="540"/>
      <c r="T81" s="540"/>
      <c r="U81" s="540"/>
      <c r="V81" s="540"/>
    </row>
    <row r="82" spans="1:22" s="76" customFormat="1" ht="21" customHeight="1">
      <c r="A82" s="540" t="s">
        <v>116</v>
      </c>
      <c r="B82" s="540"/>
      <c r="C82" s="540"/>
      <c r="D82" s="540"/>
      <c r="E82" s="540"/>
      <c r="F82" s="540"/>
      <c r="G82" s="540"/>
      <c r="H82" s="540"/>
      <c r="I82" s="540"/>
      <c r="J82" s="540"/>
      <c r="K82" s="540"/>
      <c r="L82" s="540"/>
      <c r="M82" s="540"/>
      <c r="N82" s="540"/>
      <c r="O82" s="540"/>
      <c r="P82" s="540"/>
      <c r="Q82" s="540"/>
      <c r="R82" s="540"/>
      <c r="S82" s="540"/>
      <c r="T82" s="540"/>
      <c r="U82" s="540"/>
      <c r="V82" s="540"/>
    </row>
    <row r="83" spans="1:22" s="76" customFormat="1" ht="47.25" customHeight="1">
      <c r="A83" s="540" t="s">
        <v>117</v>
      </c>
      <c r="B83" s="540"/>
      <c r="C83" s="540"/>
      <c r="D83" s="540"/>
      <c r="E83" s="540"/>
      <c r="F83" s="540"/>
      <c r="G83" s="540"/>
      <c r="H83" s="540"/>
      <c r="I83" s="540"/>
      <c r="J83" s="540"/>
      <c r="K83" s="540"/>
      <c r="L83" s="540"/>
      <c r="M83" s="540"/>
      <c r="N83" s="540"/>
      <c r="O83" s="540"/>
      <c r="P83" s="540"/>
      <c r="Q83" s="540"/>
      <c r="R83" s="540"/>
      <c r="S83" s="540"/>
      <c r="T83" s="540"/>
      <c r="U83" s="540"/>
      <c r="V83" s="540"/>
    </row>
    <row r="84" spans="1:22" s="76" customFormat="1" ht="20.25" customHeight="1">
      <c r="A84" s="540" t="s">
        <v>118</v>
      </c>
      <c r="B84" s="540"/>
      <c r="C84" s="540"/>
      <c r="D84" s="540"/>
      <c r="E84" s="540"/>
      <c r="F84" s="540"/>
      <c r="G84" s="540"/>
      <c r="H84" s="540"/>
      <c r="I84" s="540"/>
      <c r="J84" s="540"/>
      <c r="K84" s="540"/>
      <c r="L84" s="540"/>
      <c r="M84" s="540"/>
      <c r="N84" s="540"/>
      <c r="O84" s="540"/>
      <c r="P84" s="540"/>
      <c r="Q84" s="540"/>
      <c r="R84" s="540"/>
      <c r="S84" s="540"/>
      <c r="T84" s="540"/>
      <c r="U84" s="540"/>
      <c r="V84" s="540"/>
    </row>
    <row r="85" spans="1:22" s="76" customFormat="1" ht="25.5" customHeight="1">
      <c r="A85" s="540" t="s">
        <v>119</v>
      </c>
      <c r="B85" s="540"/>
      <c r="C85" s="540"/>
      <c r="D85" s="540"/>
      <c r="E85" s="540"/>
      <c r="F85" s="540"/>
      <c r="G85" s="540"/>
      <c r="H85" s="540"/>
      <c r="I85" s="540"/>
      <c r="J85" s="540"/>
      <c r="K85" s="540"/>
      <c r="L85" s="540"/>
      <c r="M85" s="540"/>
      <c r="N85" s="540"/>
      <c r="O85" s="540"/>
      <c r="P85" s="540"/>
      <c r="Q85" s="540"/>
      <c r="R85" s="540"/>
      <c r="S85" s="540"/>
      <c r="T85" s="540"/>
      <c r="U85" s="540"/>
      <c r="V85" s="540"/>
    </row>
    <row r="86" spans="1:22" s="76" customFormat="1" ht="23.25" customHeight="1">
      <c r="A86" s="540" t="s">
        <v>100</v>
      </c>
      <c r="B86" s="540"/>
      <c r="C86" s="540"/>
      <c r="D86" s="540"/>
      <c r="E86" s="540"/>
      <c r="F86" s="540"/>
      <c r="G86" s="540"/>
      <c r="H86" s="540"/>
      <c r="I86" s="540"/>
      <c r="J86" s="540"/>
      <c r="K86" s="540"/>
      <c r="L86" s="540"/>
      <c r="M86" s="540"/>
      <c r="N86" s="540"/>
      <c r="O86" s="540"/>
      <c r="P86" s="540"/>
      <c r="Q86" s="540"/>
      <c r="R86" s="540"/>
      <c r="S86" s="540"/>
      <c r="T86" s="540"/>
      <c r="U86" s="540"/>
      <c r="V86" s="540"/>
    </row>
    <row r="87" spans="1:22" s="76" customFormat="1" ht="33.75" customHeight="1">
      <c r="A87" s="539" t="s">
        <v>120</v>
      </c>
      <c r="B87" s="539"/>
      <c r="C87" s="539"/>
      <c r="D87" s="539"/>
      <c r="E87" s="539"/>
      <c r="F87" s="539"/>
      <c r="G87" s="539"/>
      <c r="H87" s="539"/>
      <c r="I87" s="539"/>
      <c r="J87" s="539"/>
      <c r="K87" s="539"/>
      <c r="L87" s="539"/>
      <c r="M87" s="539"/>
      <c r="N87" s="539"/>
      <c r="O87" s="539"/>
      <c r="P87" s="539"/>
      <c r="Q87" s="539"/>
      <c r="R87" s="539"/>
      <c r="S87" s="539"/>
      <c r="T87" s="539"/>
      <c r="U87" s="539"/>
      <c r="V87" s="539"/>
    </row>
    <row r="88" spans="1:22" s="76" customFormat="1" ht="21" customHeight="1">
      <c r="A88" s="540" t="s">
        <v>121</v>
      </c>
      <c r="B88" s="540"/>
      <c r="C88" s="540"/>
      <c r="D88" s="540"/>
      <c r="E88" s="540"/>
      <c r="F88" s="540"/>
      <c r="G88" s="540"/>
      <c r="H88" s="540"/>
      <c r="I88" s="540"/>
      <c r="J88" s="540"/>
      <c r="K88" s="540"/>
      <c r="L88" s="540"/>
      <c r="M88" s="540"/>
      <c r="N88" s="540"/>
      <c r="O88" s="540"/>
      <c r="P88" s="540"/>
      <c r="Q88" s="540"/>
      <c r="R88" s="540"/>
      <c r="S88" s="540"/>
      <c r="T88" s="540"/>
      <c r="U88" s="540"/>
      <c r="V88" s="540"/>
    </row>
    <row r="89" spans="1:22" s="76" customFormat="1" ht="74.25" customHeight="1">
      <c r="A89" s="539" t="s">
        <v>101</v>
      </c>
      <c r="B89" s="539"/>
      <c r="C89" s="539"/>
      <c r="D89" s="539"/>
      <c r="E89" s="539"/>
      <c r="F89" s="539"/>
      <c r="G89" s="539"/>
      <c r="H89" s="539"/>
      <c r="I89" s="539"/>
      <c r="J89" s="539"/>
      <c r="K89" s="539"/>
      <c r="L89" s="539"/>
      <c r="M89" s="539"/>
      <c r="N89" s="539"/>
      <c r="O89" s="539"/>
      <c r="P89" s="539"/>
      <c r="Q89" s="539"/>
      <c r="R89" s="539"/>
      <c r="S89" s="539"/>
      <c r="T89" s="539"/>
      <c r="U89" s="539"/>
      <c r="V89" s="539"/>
    </row>
    <row r="90" spans="1:22" s="76" customFormat="1">
      <c r="A90" s="520"/>
      <c r="C90" s="78"/>
      <c r="E90" s="79"/>
      <c r="F90" s="80"/>
      <c r="G90" s="80"/>
      <c r="H90" s="80"/>
      <c r="I90" s="80"/>
      <c r="J90" s="80"/>
      <c r="K90" s="80"/>
      <c r="L90" s="80"/>
      <c r="M90" s="80"/>
      <c r="N90" s="80"/>
      <c r="O90" s="80"/>
      <c r="P90" s="80"/>
      <c r="Q90" s="80"/>
      <c r="R90" s="80"/>
      <c r="S90" s="80"/>
      <c r="T90" s="81"/>
      <c r="V90" s="82"/>
    </row>
    <row r="91" spans="1:22" s="76" customFormat="1">
      <c r="A91" s="520"/>
      <c r="C91" s="78"/>
      <c r="E91" s="79"/>
      <c r="F91" s="80"/>
      <c r="G91" s="80"/>
      <c r="H91" s="80"/>
      <c r="I91" s="80"/>
      <c r="J91" s="80"/>
      <c r="K91" s="80"/>
      <c r="L91" s="80"/>
      <c r="M91" s="80"/>
      <c r="N91" s="80"/>
      <c r="O91" s="80"/>
      <c r="P91" s="80"/>
      <c r="Q91" s="80"/>
      <c r="R91" s="80"/>
      <c r="S91" s="80"/>
      <c r="T91" s="81"/>
      <c r="V91" s="82"/>
    </row>
    <row r="92" spans="1:22" s="76" customFormat="1">
      <c r="A92" s="520"/>
      <c r="C92" s="78"/>
      <c r="E92" s="79"/>
      <c r="F92" s="80"/>
      <c r="G92" s="80"/>
      <c r="H92" s="80"/>
      <c r="I92" s="80"/>
      <c r="J92" s="80"/>
      <c r="K92" s="80"/>
      <c r="L92" s="80"/>
      <c r="M92" s="80"/>
      <c r="N92" s="80"/>
      <c r="O92" s="80"/>
      <c r="P92" s="80"/>
      <c r="Q92" s="80"/>
      <c r="R92" s="80"/>
      <c r="S92" s="80"/>
      <c r="T92" s="81"/>
      <c r="V92" s="82"/>
    </row>
    <row r="93" spans="1:22" s="76" customFormat="1">
      <c r="A93" s="520"/>
      <c r="C93" s="78"/>
      <c r="E93" s="79"/>
      <c r="F93" s="80"/>
      <c r="G93" s="80"/>
      <c r="H93" s="80"/>
      <c r="I93" s="80"/>
      <c r="J93" s="80"/>
      <c r="K93" s="80"/>
      <c r="L93" s="80"/>
      <c r="M93" s="80"/>
      <c r="N93" s="80"/>
      <c r="O93" s="80"/>
      <c r="P93" s="80"/>
      <c r="Q93" s="80"/>
      <c r="R93" s="80"/>
      <c r="S93" s="80"/>
      <c r="T93" s="81"/>
      <c r="V93" s="82"/>
    </row>
    <row r="94" spans="1:22" s="76" customFormat="1">
      <c r="A94" s="520"/>
      <c r="C94" s="78"/>
      <c r="E94" s="79"/>
      <c r="F94" s="80"/>
      <c r="G94" s="80"/>
      <c r="H94" s="80"/>
      <c r="I94" s="80"/>
      <c r="J94" s="80"/>
      <c r="K94" s="80"/>
      <c r="L94" s="80"/>
      <c r="M94" s="80"/>
      <c r="N94" s="80"/>
      <c r="O94" s="80"/>
      <c r="P94" s="80"/>
      <c r="Q94" s="80"/>
      <c r="R94" s="80"/>
      <c r="S94" s="80"/>
      <c r="T94" s="81"/>
      <c r="V94" s="82"/>
    </row>
    <row r="95" spans="1:22" s="76" customFormat="1">
      <c r="A95" s="520"/>
      <c r="C95" s="78"/>
      <c r="E95" s="79"/>
      <c r="F95" s="80"/>
      <c r="G95" s="80"/>
      <c r="H95" s="80"/>
      <c r="I95" s="80"/>
      <c r="J95" s="80"/>
      <c r="K95" s="80"/>
      <c r="L95" s="80"/>
      <c r="M95" s="80"/>
      <c r="N95" s="80"/>
      <c r="O95" s="80"/>
      <c r="P95" s="80"/>
      <c r="Q95" s="80"/>
      <c r="R95" s="80"/>
      <c r="S95" s="80"/>
      <c r="T95" s="81"/>
      <c r="V95" s="82"/>
    </row>
    <row r="96" spans="1:22" s="76" customFormat="1">
      <c r="A96" s="520"/>
      <c r="C96" s="78"/>
      <c r="E96" s="79"/>
      <c r="F96" s="80"/>
      <c r="G96" s="80"/>
      <c r="H96" s="80"/>
      <c r="I96" s="80"/>
      <c r="J96" s="80"/>
      <c r="K96" s="80"/>
      <c r="L96" s="80"/>
      <c r="M96" s="80"/>
      <c r="N96" s="80"/>
      <c r="O96" s="80"/>
      <c r="P96" s="80"/>
      <c r="Q96" s="80"/>
      <c r="R96" s="80"/>
      <c r="S96" s="80"/>
      <c r="T96" s="81"/>
      <c r="V96" s="82"/>
    </row>
    <row r="97" spans="1:64" s="76" customFormat="1">
      <c r="A97" s="520"/>
      <c r="C97" s="78"/>
      <c r="E97" s="79"/>
      <c r="F97" s="80"/>
      <c r="G97" s="80"/>
      <c r="H97" s="80"/>
      <c r="I97" s="80"/>
      <c r="J97" s="80"/>
      <c r="K97" s="80"/>
      <c r="L97" s="80"/>
      <c r="M97" s="80"/>
      <c r="N97" s="80"/>
      <c r="O97" s="80"/>
      <c r="P97" s="80"/>
      <c r="Q97" s="80"/>
      <c r="R97" s="80"/>
      <c r="S97" s="80"/>
      <c r="T97" s="81"/>
      <c r="V97" s="82"/>
    </row>
    <row r="98" spans="1:64" s="76" customFormat="1">
      <c r="A98" s="520"/>
      <c r="C98" s="78"/>
      <c r="E98" s="79"/>
      <c r="F98" s="80"/>
      <c r="G98" s="80"/>
      <c r="H98" s="80"/>
      <c r="I98" s="80"/>
      <c r="J98" s="80"/>
      <c r="K98" s="80"/>
      <c r="L98" s="80"/>
      <c r="M98" s="80"/>
      <c r="N98" s="80"/>
      <c r="O98" s="80"/>
      <c r="P98" s="80"/>
      <c r="Q98" s="80"/>
      <c r="R98" s="80"/>
      <c r="S98" s="80"/>
      <c r="T98" s="81"/>
      <c r="V98" s="82"/>
    </row>
    <row r="99" spans="1:64" s="76" customFormat="1">
      <c r="A99" s="520"/>
      <c r="C99" s="78"/>
      <c r="E99" s="79"/>
      <c r="F99" s="80"/>
      <c r="G99" s="80"/>
      <c r="H99" s="80"/>
      <c r="I99" s="80"/>
      <c r="J99" s="80"/>
      <c r="K99" s="80"/>
      <c r="L99" s="80"/>
      <c r="M99" s="80"/>
      <c r="N99" s="80"/>
      <c r="O99" s="80"/>
      <c r="P99" s="80"/>
      <c r="Q99" s="80"/>
      <c r="R99" s="80"/>
      <c r="S99" s="80"/>
      <c r="T99" s="81"/>
      <c r="V99" s="82"/>
    </row>
    <row r="100" spans="1:64" s="76" customFormat="1">
      <c r="A100" s="520"/>
      <c r="C100" s="78"/>
      <c r="E100" s="79"/>
      <c r="F100" s="80"/>
      <c r="G100" s="80"/>
      <c r="H100" s="80"/>
      <c r="I100" s="80"/>
      <c r="J100" s="80"/>
      <c r="K100" s="80"/>
      <c r="L100" s="80"/>
      <c r="M100" s="80"/>
      <c r="N100" s="80"/>
      <c r="O100" s="80"/>
      <c r="P100" s="80"/>
      <c r="Q100" s="80"/>
      <c r="R100" s="80"/>
      <c r="S100" s="80"/>
      <c r="T100" s="81"/>
      <c r="V100" s="82"/>
    </row>
    <row r="101" spans="1:64" s="76" customFormat="1">
      <c r="A101" s="520"/>
      <c r="C101" s="78"/>
      <c r="E101" s="79"/>
      <c r="F101" s="80"/>
      <c r="G101" s="80"/>
      <c r="H101" s="80"/>
      <c r="I101" s="80"/>
      <c r="J101" s="80"/>
      <c r="K101" s="80"/>
      <c r="L101" s="80"/>
      <c r="M101" s="80"/>
      <c r="N101" s="80"/>
      <c r="O101" s="80"/>
      <c r="P101" s="80"/>
      <c r="Q101" s="80"/>
      <c r="R101" s="80"/>
      <c r="S101" s="80"/>
      <c r="T101" s="81"/>
      <c r="V101" s="82"/>
    </row>
    <row r="102" spans="1:64" s="76" customFormat="1">
      <c r="A102" s="520"/>
      <c r="C102" s="78"/>
      <c r="E102" s="79"/>
      <c r="F102" s="80"/>
      <c r="G102" s="80"/>
      <c r="H102" s="80"/>
      <c r="I102" s="80"/>
      <c r="J102" s="80"/>
      <c r="K102" s="80"/>
      <c r="L102" s="80"/>
      <c r="M102" s="80"/>
      <c r="N102" s="80"/>
      <c r="O102" s="80"/>
      <c r="P102" s="80"/>
      <c r="Q102" s="80"/>
      <c r="R102" s="80"/>
      <c r="S102" s="80"/>
      <c r="T102" s="81"/>
      <c r="V102" s="82"/>
    </row>
    <row r="103" spans="1:64" s="76" customFormat="1">
      <c r="A103" s="520"/>
      <c r="C103" s="78"/>
      <c r="E103" s="79"/>
      <c r="F103" s="80"/>
      <c r="G103" s="80"/>
      <c r="H103" s="80"/>
      <c r="I103" s="80"/>
      <c r="J103" s="80"/>
      <c r="K103" s="80"/>
      <c r="L103" s="80"/>
      <c r="M103" s="80"/>
      <c r="N103" s="80"/>
      <c r="O103" s="80"/>
      <c r="P103" s="80"/>
      <c r="Q103" s="80"/>
      <c r="R103" s="80"/>
      <c r="S103" s="80"/>
      <c r="T103" s="81"/>
      <c r="V103" s="82"/>
    </row>
    <row r="104" spans="1:64" s="76" customFormat="1">
      <c r="A104" s="520"/>
      <c r="C104" s="78"/>
      <c r="E104" s="79"/>
      <c r="F104" s="80"/>
      <c r="G104" s="80"/>
      <c r="H104" s="80"/>
      <c r="I104" s="80"/>
      <c r="J104" s="80"/>
      <c r="K104" s="80"/>
      <c r="L104" s="80"/>
      <c r="M104" s="80"/>
      <c r="N104" s="80"/>
      <c r="O104" s="80"/>
      <c r="P104" s="80"/>
      <c r="Q104" s="80"/>
      <c r="R104" s="80"/>
      <c r="S104" s="80"/>
      <c r="T104" s="81"/>
      <c r="V104" s="82"/>
    </row>
    <row r="111" spans="1:64">
      <c r="A111" s="522"/>
      <c r="B111" s="69"/>
      <c r="C111" s="528"/>
      <c r="D111" s="70"/>
      <c r="E111" s="74"/>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row>
    <row r="112" spans="1:64">
      <c r="A112" s="523"/>
      <c r="B112" s="70"/>
      <c r="C112" s="528"/>
      <c r="D112" s="70"/>
      <c r="E112" s="74"/>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row>
  </sheetData>
  <mergeCells count="38">
    <mergeCell ref="A70:V70"/>
    <mergeCell ref="A76:V76"/>
    <mergeCell ref="A77:V77"/>
    <mergeCell ref="A78:V78"/>
    <mergeCell ref="A88:V88"/>
    <mergeCell ref="A82:V82"/>
    <mergeCell ref="A71:V71"/>
    <mergeCell ref="A72:V72"/>
    <mergeCell ref="A73:V73"/>
    <mergeCell ref="A74:V74"/>
    <mergeCell ref="A75:V75"/>
    <mergeCell ref="A80:V80"/>
    <mergeCell ref="A81:V81"/>
    <mergeCell ref="A79:V79"/>
    <mergeCell ref="A89:V89"/>
    <mergeCell ref="A83:V83"/>
    <mergeCell ref="A84:V84"/>
    <mergeCell ref="A85:V85"/>
    <mergeCell ref="A86:V86"/>
    <mergeCell ref="A87:V87"/>
    <mergeCell ref="F3:G3"/>
    <mergeCell ref="I3:J3"/>
    <mergeCell ref="L3:M3"/>
    <mergeCell ref="O3:P3"/>
    <mergeCell ref="R3:S3"/>
    <mergeCell ref="A49:V49"/>
    <mergeCell ref="A46:V46"/>
    <mergeCell ref="A47:V47"/>
    <mergeCell ref="A48:V48"/>
    <mergeCell ref="A69:V69"/>
    <mergeCell ref="A60:V60"/>
    <mergeCell ref="A61:V61"/>
    <mergeCell ref="A63:V63"/>
    <mergeCell ref="A66:V66"/>
    <mergeCell ref="A67:V67"/>
    <mergeCell ref="A68:V68"/>
    <mergeCell ref="A64:V64"/>
    <mergeCell ref="A65:V65"/>
  </mergeCells>
  <printOptions gridLines="1"/>
  <pageMargins left="0.75" right="0.75" top="0.5" bottom="0.21" header="0.5" footer="0.24"/>
  <pageSetup paperSize="9" scale="67"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M114"/>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2" customWidth="1"/>
    <col min="5" max="5" width="8.7109375" style="8" customWidth="1"/>
    <col min="6" max="7" width="12.7109375" style="10" customWidth="1"/>
    <col min="8" max="8" width="8.7109375" style="10" customWidth="1"/>
    <col min="9" max="10" width="12.7109375" style="10" customWidth="1"/>
    <col min="11" max="11" width="8.7109375" style="10" customWidth="1"/>
    <col min="12" max="13" width="12.7109375" style="10" customWidth="1"/>
    <col min="14" max="14" width="8.7109375" style="10" customWidth="1"/>
    <col min="15" max="16" width="12.7109375" style="10" customWidth="1"/>
    <col min="17" max="17" width="8.7109375" style="10" customWidth="1"/>
    <col min="18" max="19" width="12.7109375" style="10" customWidth="1"/>
    <col min="20" max="20" width="12.7109375" style="9" customWidth="1"/>
    <col min="21" max="21" width="5" style="2" bestFit="1" customWidth="1"/>
    <col min="22" max="22" width="15.42578125" style="14" customWidth="1"/>
    <col min="23" max="23" width="12.7109375" style="4" hidden="1" customWidth="1"/>
    <col min="24" max="38" width="12.7109375" style="4" customWidth="1"/>
    <col min="39" max="16384" width="9.140625" style="4"/>
  </cols>
  <sheetData>
    <row r="1" spans="1:23" s="41" customFormat="1" ht="30" customHeight="1">
      <c r="A1" s="514" t="s">
        <v>87</v>
      </c>
      <c r="B1" s="102"/>
      <c r="C1" s="508"/>
      <c r="D1" s="45"/>
      <c r="E1" s="46"/>
      <c r="F1" s="47"/>
      <c r="G1" s="47"/>
      <c r="H1" s="47"/>
      <c r="I1" s="47"/>
      <c r="J1" s="47"/>
      <c r="K1" s="47"/>
      <c r="L1" s="47"/>
      <c r="M1" s="47"/>
      <c r="N1" s="47"/>
      <c r="O1" s="47"/>
      <c r="P1" s="47"/>
      <c r="Q1" s="47"/>
      <c r="R1" s="47"/>
      <c r="S1" s="47"/>
      <c r="T1" s="45"/>
      <c r="U1" s="45"/>
      <c r="V1" s="48"/>
    </row>
    <row r="2" spans="1:23" s="41" customFormat="1" ht="30" customHeight="1">
      <c r="A2" s="514" t="s">
        <v>103</v>
      </c>
      <c r="B2" s="102"/>
      <c r="C2" s="508"/>
      <c r="D2" s="45"/>
      <c r="E2" s="46"/>
      <c r="F2" s="47"/>
      <c r="G2" s="47"/>
      <c r="H2" s="47"/>
      <c r="I2" s="47"/>
      <c r="J2" s="47"/>
      <c r="K2" s="47"/>
      <c r="L2" s="47"/>
      <c r="M2" s="47"/>
      <c r="N2" s="47"/>
      <c r="O2" s="47"/>
      <c r="P2" s="47"/>
      <c r="Q2" s="47"/>
      <c r="R2" s="47"/>
      <c r="S2" s="47"/>
      <c r="T2" s="45"/>
      <c r="U2" s="45"/>
      <c r="V2" s="48"/>
    </row>
    <row r="3" spans="1:23" s="41" customFormat="1" ht="30" customHeight="1">
      <c r="A3" s="514"/>
      <c r="B3" s="102"/>
      <c r="C3" s="508"/>
      <c r="D3" s="45"/>
      <c r="E3" s="46"/>
      <c r="F3" s="536" t="s">
        <v>248</v>
      </c>
      <c r="G3" s="537"/>
      <c r="H3" s="47"/>
      <c r="I3" s="536" t="s">
        <v>248</v>
      </c>
      <c r="J3" s="537"/>
      <c r="K3" s="47"/>
      <c r="L3" s="536" t="s">
        <v>248</v>
      </c>
      <c r="M3" s="537"/>
      <c r="N3" s="47"/>
      <c r="O3" s="536" t="s">
        <v>248</v>
      </c>
      <c r="P3" s="537"/>
      <c r="Q3" s="47"/>
      <c r="R3" s="536" t="s">
        <v>248</v>
      </c>
      <c r="S3" s="537"/>
      <c r="T3" s="45"/>
      <c r="U3" s="45"/>
      <c r="V3" s="48"/>
    </row>
    <row r="4" spans="1:23" s="30" customFormat="1" ht="48.75" customHeight="1">
      <c r="A4" s="515" t="s">
        <v>3</v>
      </c>
      <c r="B4" s="209" t="s">
        <v>231</v>
      </c>
      <c r="C4" s="264" t="s">
        <v>1</v>
      </c>
      <c r="D4" s="251"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75" customHeight="1">
      <c r="A5" s="227" t="s">
        <v>33</v>
      </c>
      <c r="B5" s="325">
        <v>0</v>
      </c>
      <c r="C5" s="265" t="s">
        <v>250</v>
      </c>
      <c r="D5" s="252" t="s">
        <v>5</v>
      </c>
      <c r="E5" s="229" t="s">
        <v>5</v>
      </c>
      <c r="F5" s="230" t="s">
        <v>5</v>
      </c>
      <c r="G5" s="231" t="s">
        <v>5</v>
      </c>
      <c r="H5" s="232"/>
      <c r="I5" s="230"/>
      <c r="J5" s="231"/>
      <c r="K5" s="232"/>
      <c r="L5" s="230"/>
      <c r="M5" s="231"/>
      <c r="N5" s="232"/>
      <c r="O5" s="230"/>
      <c r="P5" s="231"/>
      <c r="Q5" s="232"/>
      <c r="R5" s="230"/>
      <c r="S5" s="231"/>
      <c r="T5" s="233" t="s">
        <v>5</v>
      </c>
      <c r="U5" s="228" t="s">
        <v>5</v>
      </c>
      <c r="V5" s="234" t="s">
        <v>5</v>
      </c>
      <c r="W5" s="4" t="str">
        <f>IF(U5="TY","A",IF(U5="TY/TYs","AB",IF(U5="TYs", "B",IF(U5="TC","C",IF(U5="-","",)))))</f>
        <v/>
      </c>
    </row>
    <row r="6" spans="1:23" ht="15.75" customHeight="1">
      <c r="A6" s="235" t="s">
        <v>50</v>
      </c>
      <c r="B6" s="253">
        <v>1</v>
      </c>
      <c r="C6" s="332" t="s">
        <v>7</v>
      </c>
      <c r="D6" s="326" t="s">
        <v>5</v>
      </c>
      <c r="E6" s="127">
        <v>0</v>
      </c>
      <c r="F6" s="114">
        <v>0</v>
      </c>
      <c r="G6" s="115">
        <f>14*376.26</f>
        <v>5267.6399999999994</v>
      </c>
      <c r="H6" s="127">
        <f>3.95+10.25+(0.5+0.5)*6/7</f>
        <v>15.057142857142857</v>
      </c>
      <c r="I6" s="114">
        <f>G6</f>
        <v>5267.6399999999994</v>
      </c>
      <c r="J6" s="115">
        <f>1186*14</f>
        <v>16604</v>
      </c>
      <c r="K6" s="127">
        <f>3.95+10.25+(0.5+0.5)*6/7+1</f>
        <v>16.057142857142857</v>
      </c>
      <c r="L6" s="114">
        <f>J6</f>
        <v>16604</v>
      </c>
      <c r="M6" s="115">
        <f>1294*14</f>
        <v>18116</v>
      </c>
      <c r="N6" s="127">
        <f>3.95+10.25+(0.5+0.5)*6/7+2</f>
        <v>17.057142857142857</v>
      </c>
      <c r="O6" s="114">
        <f>M6</f>
        <v>18116</v>
      </c>
      <c r="P6" s="115">
        <f>1456*14</f>
        <v>20384</v>
      </c>
      <c r="Q6" s="127">
        <f>3.95+10.25+(0.5+0.5)*6/7+3</f>
        <v>18.057142857142857</v>
      </c>
      <c r="R6" s="114">
        <f>P6</f>
        <v>20384</v>
      </c>
      <c r="S6" s="115">
        <f>4230*14</f>
        <v>59220</v>
      </c>
      <c r="T6" s="192">
        <f>S6*Q6/100</f>
        <v>10693.44</v>
      </c>
      <c r="U6" s="19" t="s">
        <v>6</v>
      </c>
      <c r="V6" s="285">
        <v>100</v>
      </c>
      <c r="W6" s="4" t="str">
        <f t="shared" ref="W6:W45" si="0">IF(U6="TY","A",IF(U6="TY/TYs","AB",IF(U6="TYs", "B",IF(U6="TC","C",IF(U6="-","",)))))</f>
        <v>A</v>
      </c>
    </row>
    <row r="7" spans="1:23" ht="15.75" customHeight="1">
      <c r="A7" s="235" t="s">
        <v>26</v>
      </c>
      <c r="B7" s="253">
        <v>1</v>
      </c>
      <c r="C7" s="333" t="s">
        <v>7</v>
      </c>
      <c r="D7" s="326" t="s">
        <v>5</v>
      </c>
      <c r="E7" s="127">
        <f>0.87+1.15+3.55+7.5</f>
        <v>13.07</v>
      </c>
      <c r="F7" s="314" t="s">
        <v>5</v>
      </c>
      <c r="G7" s="126" t="s">
        <v>5</v>
      </c>
      <c r="H7" s="121" t="s">
        <v>5</v>
      </c>
      <c r="I7" s="218" t="s">
        <v>5</v>
      </c>
      <c r="J7" s="142" t="s">
        <v>5</v>
      </c>
      <c r="K7" s="121" t="s">
        <v>5</v>
      </c>
      <c r="L7" s="218" t="s">
        <v>5</v>
      </c>
      <c r="M7" s="142" t="s">
        <v>5</v>
      </c>
      <c r="N7" s="121" t="s">
        <v>5</v>
      </c>
      <c r="O7" s="218" t="s">
        <v>5</v>
      </c>
      <c r="P7" s="142" t="s">
        <v>5</v>
      </c>
      <c r="Q7" s="121" t="s">
        <v>5</v>
      </c>
      <c r="R7" s="218" t="s">
        <v>5</v>
      </c>
      <c r="S7" s="142" t="s">
        <v>5</v>
      </c>
      <c r="T7" s="203" t="s">
        <v>5</v>
      </c>
      <c r="U7" s="19" t="s">
        <v>6</v>
      </c>
      <c r="V7" s="285">
        <v>100</v>
      </c>
      <c r="W7" s="4" t="str">
        <f t="shared" si="0"/>
        <v>A</v>
      </c>
    </row>
    <row r="8" spans="1:23" ht="15.75" customHeight="1">
      <c r="A8" s="235" t="s">
        <v>49</v>
      </c>
      <c r="B8" s="253">
        <v>1</v>
      </c>
      <c r="C8" s="333" t="s">
        <v>8</v>
      </c>
      <c r="D8" s="254" t="s">
        <v>5</v>
      </c>
      <c r="E8" s="127">
        <f>0.0183*100</f>
        <v>1.83</v>
      </c>
      <c r="F8" s="114">
        <v>0</v>
      </c>
      <c r="G8" s="115">
        <v>3500</v>
      </c>
      <c r="H8" s="127">
        <f>E8+(0.0495*100)</f>
        <v>6.78</v>
      </c>
      <c r="I8" s="114">
        <f>G8</f>
        <v>3500</v>
      </c>
      <c r="J8" s="115">
        <f>839.97/0.0183</f>
        <v>45900</v>
      </c>
      <c r="K8" s="127">
        <f>0.0495*100</f>
        <v>4.95</v>
      </c>
      <c r="L8" s="114">
        <f>J8</f>
        <v>45900</v>
      </c>
      <c r="M8" s="115">
        <f>(2306.7/0.0495)+3500</f>
        <v>50099.999999999993</v>
      </c>
      <c r="N8" s="120" t="s">
        <v>5</v>
      </c>
      <c r="O8" s="219" t="s">
        <v>5</v>
      </c>
      <c r="P8" s="180" t="s">
        <v>5</v>
      </c>
      <c r="Q8" s="120" t="s">
        <v>5</v>
      </c>
      <c r="R8" s="219" t="s">
        <v>5</v>
      </c>
      <c r="S8" s="180" t="s">
        <v>5</v>
      </c>
      <c r="T8" s="192">
        <f>(G8-F8)*E8/100 + (J8-I8)*H8/100 + (M8-L8)*K8/100</f>
        <v>3146.6699999999996</v>
      </c>
      <c r="U8" s="54" t="s">
        <v>5</v>
      </c>
      <c r="V8" s="287" t="s">
        <v>5</v>
      </c>
      <c r="W8" s="4" t="str">
        <f t="shared" si="0"/>
        <v/>
      </c>
    </row>
    <row r="9" spans="1:23" ht="15.75" customHeight="1">
      <c r="A9" s="235" t="s">
        <v>66</v>
      </c>
      <c r="B9" s="253">
        <v>1</v>
      </c>
      <c r="C9" s="267" t="s">
        <v>7</v>
      </c>
      <c r="D9" s="254" t="s">
        <v>5</v>
      </c>
      <c r="E9" s="143">
        <f>0.07*100</f>
        <v>7.0000000000000009</v>
      </c>
      <c r="F9" s="133">
        <v>0</v>
      </c>
      <c r="G9" s="134">
        <f>18294271/12</f>
        <v>1524522.5833333333</v>
      </c>
      <c r="H9" s="120" t="s">
        <v>5</v>
      </c>
      <c r="I9" s="219" t="s">
        <v>5</v>
      </c>
      <c r="J9" s="180" t="s">
        <v>5</v>
      </c>
      <c r="K9" s="120" t="s">
        <v>5</v>
      </c>
      <c r="L9" s="219" t="s">
        <v>5</v>
      </c>
      <c r="M9" s="180" t="s">
        <v>5</v>
      </c>
      <c r="N9" s="120" t="s">
        <v>5</v>
      </c>
      <c r="O9" s="219" t="s">
        <v>5</v>
      </c>
      <c r="P9" s="180" t="s">
        <v>5</v>
      </c>
      <c r="Q9" s="120" t="s">
        <v>5</v>
      </c>
      <c r="R9" s="219" t="s">
        <v>5</v>
      </c>
      <c r="S9" s="180" t="s">
        <v>5</v>
      </c>
      <c r="T9" s="189">
        <f>+E9/100*G9</f>
        <v>106716.58083333334</v>
      </c>
      <c r="U9" s="62" t="s">
        <v>5</v>
      </c>
      <c r="V9" s="236" t="s">
        <v>5</v>
      </c>
      <c r="W9" s="4" t="str">
        <f t="shared" si="0"/>
        <v/>
      </c>
    </row>
    <row r="10" spans="1:23" ht="15.75" customHeight="1">
      <c r="A10" s="235" t="s">
        <v>22</v>
      </c>
      <c r="B10" s="253">
        <v>1</v>
      </c>
      <c r="C10" s="332" t="s">
        <v>7</v>
      </c>
      <c r="D10" s="327" t="s">
        <v>5</v>
      </c>
      <c r="E10" s="119">
        <f>0.045*100</f>
        <v>4.5</v>
      </c>
      <c r="F10" s="114">
        <v>0</v>
      </c>
      <c r="G10" s="115">
        <f>1809864/12</f>
        <v>150822</v>
      </c>
      <c r="H10" s="120" t="s">
        <v>5</v>
      </c>
      <c r="I10" s="219" t="s">
        <v>5</v>
      </c>
      <c r="J10" s="180" t="s">
        <v>5</v>
      </c>
      <c r="K10" s="120" t="s">
        <v>5</v>
      </c>
      <c r="L10" s="219" t="s">
        <v>5</v>
      </c>
      <c r="M10" s="180" t="s">
        <v>5</v>
      </c>
      <c r="N10" s="120" t="s">
        <v>5</v>
      </c>
      <c r="O10" s="219" t="s">
        <v>5</v>
      </c>
      <c r="P10" s="180" t="s">
        <v>5</v>
      </c>
      <c r="Q10" s="120" t="s">
        <v>5</v>
      </c>
      <c r="R10" s="219" t="s">
        <v>5</v>
      </c>
      <c r="S10" s="180" t="s">
        <v>5</v>
      </c>
      <c r="T10" s="192">
        <f>G10*(E10/100)</f>
        <v>6786.99</v>
      </c>
      <c r="U10" s="28" t="s">
        <v>5</v>
      </c>
      <c r="V10" s="286" t="s">
        <v>5</v>
      </c>
      <c r="W10" s="4" t="str">
        <f t="shared" si="0"/>
        <v/>
      </c>
    </row>
    <row r="11" spans="1:23" ht="15.75" customHeight="1">
      <c r="A11" s="235" t="s">
        <v>22</v>
      </c>
      <c r="B11" s="253">
        <v>2</v>
      </c>
      <c r="C11" s="332" t="s">
        <v>7</v>
      </c>
      <c r="D11" s="327" t="s">
        <v>5</v>
      </c>
      <c r="E11" s="135">
        <f>0.065*100</f>
        <v>6.5</v>
      </c>
      <c r="F11" s="114">
        <v>0</v>
      </c>
      <c r="G11" s="115">
        <f>1206576/12</f>
        <v>100548</v>
      </c>
      <c r="H11" s="120" t="s">
        <v>5</v>
      </c>
      <c r="I11" s="219" t="s">
        <v>5</v>
      </c>
      <c r="J11" s="180" t="s">
        <v>5</v>
      </c>
      <c r="K11" s="120" t="s">
        <v>5</v>
      </c>
      <c r="L11" s="219" t="s">
        <v>5</v>
      </c>
      <c r="M11" s="180" t="s">
        <v>5</v>
      </c>
      <c r="N11" s="120" t="s">
        <v>5</v>
      </c>
      <c r="O11" s="219" t="s">
        <v>5</v>
      </c>
      <c r="P11" s="180" t="s">
        <v>5</v>
      </c>
      <c r="Q11" s="120" t="s">
        <v>5</v>
      </c>
      <c r="R11" s="219" t="s">
        <v>5</v>
      </c>
      <c r="S11" s="180" t="s">
        <v>5</v>
      </c>
      <c r="T11" s="192">
        <f>G11*(E11/100)</f>
        <v>6535.62</v>
      </c>
      <c r="U11" s="28" t="s">
        <v>5</v>
      </c>
      <c r="V11" s="286" t="s">
        <v>5</v>
      </c>
      <c r="W11" s="4" t="str">
        <f t="shared" si="0"/>
        <v/>
      </c>
    </row>
    <row r="12" spans="1:23" ht="15.75" customHeight="1">
      <c r="A12" s="235" t="s">
        <v>216</v>
      </c>
      <c r="B12" s="253">
        <v>1</v>
      </c>
      <c r="C12" s="333" t="s">
        <v>8</v>
      </c>
      <c r="D12" s="328">
        <v>1080</v>
      </c>
      <c r="E12" s="207" t="s">
        <v>5</v>
      </c>
      <c r="F12" s="219" t="s">
        <v>5</v>
      </c>
      <c r="G12" s="142" t="s">
        <v>5</v>
      </c>
      <c r="H12" s="121" t="s">
        <v>5</v>
      </c>
      <c r="I12" s="218" t="s">
        <v>5</v>
      </c>
      <c r="J12" s="142" t="s">
        <v>5</v>
      </c>
      <c r="K12" s="121" t="s">
        <v>5</v>
      </c>
      <c r="L12" s="218" t="s">
        <v>5</v>
      </c>
      <c r="M12" s="142" t="s">
        <v>5</v>
      </c>
      <c r="N12" s="121" t="s">
        <v>5</v>
      </c>
      <c r="O12" s="218" t="s">
        <v>5</v>
      </c>
      <c r="P12" s="142" t="s">
        <v>5</v>
      </c>
      <c r="Q12" s="121" t="s">
        <v>5</v>
      </c>
      <c r="R12" s="218" t="s">
        <v>5</v>
      </c>
      <c r="S12" s="142" t="s">
        <v>5</v>
      </c>
      <c r="T12" s="188" t="s">
        <v>5</v>
      </c>
      <c r="U12" s="19" t="s">
        <v>6</v>
      </c>
      <c r="V12" s="287">
        <v>100</v>
      </c>
      <c r="W12" s="4" t="str">
        <f t="shared" si="0"/>
        <v>A</v>
      </c>
    </row>
    <row r="13" spans="1:23" ht="15.75" customHeight="1">
      <c r="A13" s="235" t="s">
        <v>58</v>
      </c>
      <c r="B13" s="253">
        <v>1</v>
      </c>
      <c r="C13" s="333" t="s">
        <v>7</v>
      </c>
      <c r="D13" s="326" t="s">
        <v>5</v>
      </c>
      <c r="E13" s="127">
        <f>0.028*100</f>
        <v>2.8000000000000003</v>
      </c>
      <c r="F13" s="114" t="s">
        <v>5</v>
      </c>
      <c r="G13" s="126" t="s">
        <v>5</v>
      </c>
      <c r="H13" s="121" t="s">
        <v>5</v>
      </c>
      <c r="I13" s="218" t="s">
        <v>5</v>
      </c>
      <c r="J13" s="142" t="s">
        <v>5</v>
      </c>
      <c r="K13" s="121" t="s">
        <v>5</v>
      </c>
      <c r="L13" s="218" t="s">
        <v>5</v>
      </c>
      <c r="M13" s="142" t="s">
        <v>5</v>
      </c>
      <c r="N13" s="121" t="s">
        <v>5</v>
      </c>
      <c r="O13" s="218" t="s">
        <v>5</v>
      </c>
      <c r="P13" s="142" t="s">
        <v>5</v>
      </c>
      <c r="Q13" s="121" t="s">
        <v>5</v>
      </c>
      <c r="R13" s="218" t="s">
        <v>5</v>
      </c>
      <c r="S13" s="142" t="s">
        <v>5</v>
      </c>
      <c r="T13" s="203" t="s">
        <v>5</v>
      </c>
      <c r="U13" s="19" t="s">
        <v>6</v>
      </c>
      <c r="V13" s="285">
        <v>100</v>
      </c>
      <c r="W13" s="4" t="str">
        <f t="shared" si="0"/>
        <v>A</v>
      </c>
    </row>
    <row r="14" spans="1:23" ht="15.75" customHeight="1">
      <c r="A14" s="235" t="s">
        <v>56</v>
      </c>
      <c r="B14" s="253">
        <v>1</v>
      </c>
      <c r="C14" s="333" t="s">
        <v>10</v>
      </c>
      <c r="D14" s="329" t="s">
        <v>5</v>
      </c>
      <c r="E14" s="127">
        <f>0.0122*100</f>
        <v>1.22</v>
      </c>
      <c r="F14" s="114" t="s">
        <v>5</v>
      </c>
      <c r="G14" s="181" t="s">
        <v>5</v>
      </c>
      <c r="H14" s="121" t="s">
        <v>5</v>
      </c>
      <c r="I14" s="218" t="s">
        <v>5</v>
      </c>
      <c r="J14" s="142" t="s">
        <v>5</v>
      </c>
      <c r="K14" s="121" t="s">
        <v>5</v>
      </c>
      <c r="L14" s="218" t="s">
        <v>5</v>
      </c>
      <c r="M14" s="142" t="s">
        <v>5</v>
      </c>
      <c r="N14" s="121" t="s">
        <v>5</v>
      </c>
      <c r="O14" s="218" t="s">
        <v>5</v>
      </c>
      <c r="P14" s="142" t="s">
        <v>5</v>
      </c>
      <c r="Q14" s="121" t="s">
        <v>5</v>
      </c>
      <c r="R14" s="218" t="s">
        <v>5</v>
      </c>
      <c r="S14" s="142" t="s">
        <v>5</v>
      </c>
      <c r="T14" s="192" t="s">
        <v>5</v>
      </c>
      <c r="U14" s="19" t="s">
        <v>5</v>
      </c>
      <c r="V14" s="285" t="s">
        <v>5</v>
      </c>
      <c r="W14" s="4" t="str">
        <f t="shared" si="0"/>
        <v/>
      </c>
    </row>
    <row r="15" spans="1:23" ht="15.75" customHeight="1">
      <c r="A15" s="235" t="s">
        <v>56</v>
      </c>
      <c r="B15" s="253">
        <v>2</v>
      </c>
      <c r="C15" s="333" t="s">
        <v>8</v>
      </c>
      <c r="D15" s="329" t="s">
        <v>5</v>
      </c>
      <c r="E15" s="127">
        <f>0.0657*100</f>
        <v>6.5699999999999994</v>
      </c>
      <c r="F15" s="114" t="s">
        <v>5</v>
      </c>
      <c r="G15" s="181" t="s">
        <v>5</v>
      </c>
      <c r="H15" s="121" t="s">
        <v>5</v>
      </c>
      <c r="I15" s="218" t="s">
        <v>5</v>
      </c>
      <c r="J15" s="142" t="s">
        <v>5</v>
      </c>
      <c r="K15" s="121" t="s">
        <v>5</v>
      </c>
      <c r="L15" s="218" t="s">
        <v>5</v>
      </c>
      <c r="M15" s="142" t="s">
        <v>5</v>
      </c>
      <c r="N15" s="121" t="s">
        <v>5</v>
      </c>
      <c r="O15" s="218" t="s">
        <v>5</v>
      </c>
      <c r="P15" s="142" t="s">
        <v>5</v>
      </c>
      <c r="Q15" s="121" t="s">
        <v>5</v>
      </c>
      <c r="R15" s="218" t="s">
        <v>5</v>
      </c>
      <c r="S15" s="142" t="s">
        <v>5</v>
      </c>
      <c r="T15" s="192" t="s">
        <v>5</v>
      </c>
      <c r="U15" s="19" t="s">
        <v>6</v>
      </c>
      <c r="V15" s="285">
        <v>100</v>
      </c>
      <c r="W15" s="4" t="str">
        <f t="shared" si="0"/>
        <v>A</v>
      </c>
    </row>
    <row r="16" spans="1:23" ht="15.75" customHeight="1">
      <c r="A16" s="235" t="s">
        <v>48</v>
      </c>
      <c r="B16" s="253">
        <v>1</v>
      </c>
      <c r="C16" s="267" t="s">
        <v>8</v>
      </c>
      <c r="D16" s="254" t="s">
        <v>5</v>
      </c>
      <c r="E16" s="143">
        <f>(0.0667+0.0075+0.024+0.038+0.001)*100</f>
        <v>13.719999999999999</v>
      </c>
      <c r="F16" s="133">
        <v>0</v>
      </c>
      <c r="G16" s="134">
        <v>36372</v>
      </c>
      <c r="H16" s="143">
        <f>(0.0075+0.024+0.089+0.001)*100</f>
        <v>12.15</v>
      </c>
      <c r="I16" s="133">
        <f>G16</f>
        <v>36372</v>
      </c>
      <c r="J16" s="134">
        <f>3*G16</f>
        <v>109116</v>
      </c>
      <c r="K16" s="143">
        <f>(0.0075+0.024+0.001)*100</f>
        <v>3.25</v>
      </c>
      <c r="L16" s="133">
        <f>J16</f>
        <v>109116</v>
      </c>
      <c r="M16" s="134">
        <f>4*G16</f>
        <v>145488</v>
      </c>
      <c r="N16" s="143">
        <f>(0.0075+0.001)*100</f>
        <v>0.85000000000000009</v>
      </c>
      <c r="O16" s="133">
        <f>M16</f>
        <v>145488</v>
      </c>
      <c r="P16" s="180" t="s">
        <v>5</v>
      </c>
      <c r="Q16" s="120" t="s">
        <v>5</v>
      </c>
      <c r="R16" s="219" t="s">
        <v>5</v>
      </c>
      <c r="S16" s="180" t="s">
        <v>5</v>
      </c>
      <c r="T16" s="188" t="s">
        <v>5</v>
      </c>
      <c r="U16" s="19" t="s">
        <v>6</v>
      </c>
      <c r="V16" s="236">
        <f>E16*100/E16</f>
        <v>100.00000000000001</v>
      </c>
      <c r="W16" s="4" t="str">
        <f t="shared" si="0"/>
        <v>A</v>
      </c>
    </row>
    <row r="17" spans="1:23" ht="15.75" customHeight="1">
      <c r="A17" s="272" t="s">
        <v>54</v>
      </c>
      <c r="B17" s="253">
        <v>1</v>
      </c>
      <c r="C17" s="333" t="s">
        <v>8</v>
      </c>
      <c r="D17" s="254" t="s">
        <v>5</v>
      </c>
      <c r="E17" s="127">
        <f>(0.098+0.082+0.015+0.00975)*100</f>
        <v>20.475000000000001</v>
      </c>
      <c r="F17" s="114">
        <v>0</v>
      </c>
      <c r="G17" s="115">
        <v>45900</v>
      </c>
      <c r="H17" s="127">
        <f>(0.098+0.015)*100</f>
        <v>11.3</v>
      </c>
      <c r="I17" s="114">
        <f>G17</f>
        <v>45900</v>
      </c>
      <c r="J17" s="115">
        <v>67200</v>
      </c>
      <c r="K17" s="120" t="s">
        <v>5</v>
      </c>
      <c r="L17" s="219" t="s">
        <v>5</v>
      </c>
      <c r="M17" s="180" t="s">
        <v>5</v>
      </c>
      <c r="N17" s="120" t="s">
        <v>5</v>
      </c>
      <c r="O17" s="219" t="s">
        <v>5</v>
      </c>
      <c r="P17" s="180" t="s">
        <v>5</v>
      </c>
      <c r="Q17" s="120" t="s">
        <v>5</v>
      </c>
      <c r="R17" s="219" t="s">
        <v>5</v>
      </c>
      <c r="S17" s="180" t="s">
        <v>5</v>
      </c>
      <c r="T17" s="192">
        <f>(G17-F17)*E17/100 + (J17-I17)*H17/100</f>
        <v>11804.925000000001</v>
      </c>
      <c r="U17" s="62" t="s">
        <v>6</v>
      </c>
      <c r="V17" s="237" t="s">
        <v>218</v>
      </c>
      <c r="W17" s="4" t="str">
        <f t="shared" si="0"/>
        <v>A</v>
      </c>
    </row>
    <row r="18" spans="1:23" ht="15.75" customHeight="1">
      <c r="A18" s="322" t="s">
        <v>53</v>
      </c>
      <c r="B18" s="253">
        <v>1</v>
      </c>
      <c r="C18" s="333" t="s">
        <v>7</v>
      </c>
      <c r="D18" s="329" t="s">
        <v>5</v>
      </c>
      <c r="E18" s="127">
        <f>0.165*100</f>
        <v>16.5</v>
      </c>
      <c r="F18" s="114">
        <v>0</v>
      </c>
      <c r="G18" s="115">
        <f>77655.2/14</f>
        <v>5546.8</v>
      </c>
      <c r="H18" s="120" t="s">
        <v>5</v>
      </c>
      <c r="I18" s="219" t="s">
        <v>5</v>
      </c>
      <c r="J18" s="180" t="s">
        <v>5</v>
      </c>
      <c r="K18" s="120" t="s">
        <v>5</v>
      </c>
      <c r="L18" s="219" t="s">
        <v>5</v>
      </c>
      <c r="M18" s="180" t="s">
        <v>5</v>
      </c>
      <c r="N18" s="120" t="s">
        <v>5</v>
      </c>
      <c r="O18" s="219" t="s">
        <v>5</v>
      </c>
      <c r="P18" s="180" t="s">
        <v>5</v>
      </c>
      <c r="Q18" s="120" t="s">
        <v>5</v>
      </c>
      <c r="R18" s="219" t="s">
        <v>5</v>
      </c>
      <c r="S18" s="180" t="s">
        <v>5</v>
      </c>
      <c r="T18" s="192">
        <f>G18*E18/100</f>
        <v>915.22199999999998</v>
      </c>
      <c r="U18" s="19" t="s">
        <v>6</v>
      </c>
      <c r="V18" s="285">
        <v>100</v>
      </c>
      <c r="W18" s="4" t="str">
        <f t="shared" si="0"/>
        <v>A</v>
      </c>
    </row>
    <row r="19" spans="1:23" ht="15.75" customHeight="1">
      <c r="A19" s="235" t="s">
        <v>23</v>
      </c>
      <c r="B19" s="253">
        <v>1</v>
      </c>
      <c r="C19" s="333" t="s">
        <v>8</v>
      </c>
      <c r="D19" s="326" t="s">
        <v>5</v>
      </c>
      <c r="E19" s="127">
        <f>0.1*100</f>
        <v>10</v>
      </c>
      <c r="F19" s="114">
        <v>0</v>
      </c>
      <c r="G19" s="115">
        <v>7942200</v>
      </c>
      <c r="H19" s="120" t="s">
        <v>5</v>
      </c>
      <c r="I19" s="219" t="s">
        <v>5</v>
      </c>
      <c r="J19" s="180" t="s">
        <v>5</v>
      </c>
      <c r="K19" s="120" t="s">
        <v>5</v>
      </c>
      <c r="L19" s="219" t="s">
        <v>5</v>
      </c>
      <c r="M19" s="180" t="s">
        <v>5</v>
      </c>
      <c r="N19" s="120" t="s">
        <v>5</v>
      </c>
      <c r="O19" s="219" t="s">
        <v>5</v>
      </c>
      <c r="P19" s="180" t="s">
        <v>5</v>
      </c>
      <c r="Q19" s="120" t="s">
        <v>5</v>
      </c>
      <c r="R19" s="219" t="s">
        <v>5</v>
      </c>
      <c r="S19" s="180" t="s">
        <v>5</v>
      </c>
      <c r="T19" s="203">
        <f>+G19*E19/100</f>
        <v>794220</v>
      </c>
      <c r="U19" s="23" t="s">
        <v>5</v>
      </c>
      <c r="V19" s="287" t="s">
        <v>5</v>
      </c>
      <c r="W19" s="4" t="str">
        <f t="shared" si="0"/>
        <v/>
      </c>
    </row>
    <row r="20" spans="1:23" ht="15.75" customHeight="1">
      <c r="A20" s="235" t="s">
        <v>23</v>
      </c>
      <c r="B20" s="253">
        <v>2</v>
      </c>
      <c r="C20" s="333" t="s">
        <v>8</v>
      </c>
      <c r="D20" s="326" t="s">
        <v>5</v>
      </c>
      <c r="E20" s="127">
        <f>(0.07+0.015)*100</f>
        <v>8.5</v>
      </c>
      <c r="F20" s="114" t="s">
        <v>5</v>
      </c>
      <c r="G20" s="115" t="s">
        <v>5</v>
      </c>
      <c r="H20" s="120" t="s">
        <v>5</v>
      </c>
      <c r="I20" s="219" t="s">
        <v>5</v>
      </c>
      <c r="J20" s="180" t="s">
        <v>5</v>
      </c>
      <c r="K20" s="120" t="s">
        <v>5</v>
      </c>
      <c r="L20" s="219" t="s">
        <v>5</v>
      </c>
      <c r="M20" s="180" t="s">
        <v>5</v>
      </c>
      <c r="N20" s="120" t="s">
        <v>5</v>
      </c>
      <c r="O20" s="219" t="s">
        <v>5</v>
      </c>
      <c r="P20" s="180" t="s">
        <v>5</v>
      </c>
      <c r="Q20" s="120" t="s">
        <v>5</v>
      </c>
      <c r="R20" s="219" t="s">
        <v>5</v>
      </c>
      <c r="S20" s="180" t="s">
        <v>5</v>
      </c>
      <c r="T20" s="203" t="s">
        <v>5</v>
      </c>
      <c r="U20" s="23" t="s">
        <v>5</v>
      </c>
      <c r="V20" s="287" t="s">
        <v>5</v>
      </c>
      <c r="W20" s="4" t="str">
        <f t="shared" si="0"/>
        <v/>
      </c>
    </row>
    <row r="21" spans="1:23" ht="15.75" customHeight="1">
      <c r="A21" s="235" t="s">
        <v>68</v>
      </c>
      <c r="B21" s="253">
        <v>1</v>
      </c>
      <c r="C21" s="332" t="s">
        <v>6</v>
      </c>
      <c r="D21" s="328">
        <v>28400</v>
      </c>
      <c r="E21" s="127" t="s">
        <v>24</v>
      </c>
      <c r="F21" s="114">
        <v>1495407</v>
      </c>
      <c r="G21" s="115" t="s">
        <v>24</v>
      </c>
      <c r="H21" s="120" t="s">
        <v>5</v>
      </c>
      <c r="I21" s="219" t="s">
        <v>5</v>
      </c>
      <c r="J21" s="180" t="s">
        <v>5</v>
      </c>
      <c r="K21" s="120" t="s">
        <v>5</v>
      </c>
      <c r="L21" s="219" t="s">
        <v>5</v>
      </c>
      <c r="M21" s="180" t="s">
        <v>5</v>
      </c>
      <c r="N21" s="120" t="s">
        <v>5</v>
      </c>
      <c r="O21" s="219" t="s">
        <v>5</v>
      </c>
      <c r="P21" s="180" t="s">
        <v>5</v>
      </c>
      <c r="Q21" s="120" t="s">
        <v>5</v>
      </c>
      <c r="R21" s="219" t="s">
        <v>5</v>
      </c>
      <c r="S21" s="180" t="s">
        <v>5</v>
      </c>
      <c r="T21" s="278" t="s">
        <v>24</v>
      </c>
      <c r="U21" s="54" t="s">
        <v>5</v>
      </c>
      <c r="V21" s="287" t="s">
        <v>5</v>
      </c>
      <c r="W21" s="4" t="str">
        <f t="shared" si="0"/>
        <v/>
      </c>
    </row>
    <row r="22" spans="1:23" ht="15.75" customHeight="1">
      <c r="A22" s="235" t="s">
        <v>68</v>
      </c>
      <c r="B22" s="253">
        <v>2</v>
      </c>
      <c r="C22" s="332" t="s">
        <v>8</v>
      </c>
      <c r="D22" s="330" t="s">
        <v>5</v>
      </c>
      <c r="E22" s="127">
        <f>(0.04+0.02)*100</f>
        <v>6</v>
      </c>
      <c r="F22" s="114" t="s">
        <v>5</v>
      </c>
      <c r="G22" s="115" t="s">
        <v>5</v>
      </c>
      <c r="H22" s="120" t="s">
        <v>5</v>
      </c>
      <c r="I22" s="219" t="s">
        <v>5</v>
      </c>
      <c r="J22" s="180" t="s">
        <v>5</v>
      </c>
      <c r="K22" s="120" t="s">
        <v>5</v>
      </c>
      <c r="L22" s="219" t="s">
        <v>5</v>
      </c>
      <c r="M22" s="180" t="s">
        <v>5</v>
      </c>
      <c r="N22" s="120" t="s">
        <v>5</v>
      </c>
      <c r="O22" s="219" t="s">
        <v>5</v>
      </c>
      <c r="P22" s="180" t="s">
        <v>5</v>
      </c>
      <c r="Q22" s="120" t="s">
        <v>5</v>
      </c>
      <c r="R22" s="219" t="s">
        <v>5</v>
      </c>
      <c r="S22" s="180" t="s">
        <v>5</v>
      </c>
      <c r="T22" s="203" t="s">
        <v>5</v>
      </c>
      <c r="U22" s="19" t="s">
        <v>6</v>
      </c>
      <c r="V22" s="285">
        <v>100</v>
      </c>
      <c r="W22" s="4" t="str">
        <f t="shared" si="0"/>
        <v>A</v>
      </c>
    </row>
    <row r="23" spans="1:23" ht="15.75" customHeight="1">
      <c r="A23" s="235" t="s">
        <v>92</v>
      </c>
      <c r="B23" s="253">
        <v>1</v>
      </c>
      <c r="C23" s="333" t="s">
        <v>8</v>
      </c>
      <c r="D23" s="330" t="s">
        <v>5</v>
      </c>
      <c r="E23" s="127">
        <f>0.04*100</f>
        <v>4</v>
      </c>
      <c r="F23" s="315" t="s">
        <v>77</v>
      </c>
      <c r="G23" s="126" t="s">
        <v>5</v>
      </c>
      <c r="H23" s="121" t="s">
        <v>5</v>
      </c>
      <c r="I23" s="218" t="s">
        <v>5</v>
      </c>
      <c r="J23" s="142" t="s">
        <v>5</v>
      </c>
      <c r="K23" s="121" t="s">
        <v>5</v>
      </c>
      <c r="L23" s="218" t="s">
        <v>5</v>
      </c>
      <c r="M23" s="142" t="s">
        <v>5</v>
      </c>
      <c r="N23" s="121" t="s">
        <v>5</v>
      </c>
      <c r="O23" s="218" t="s">
        <v>5</v>
      </c>
      <c r="P23" s="142" t="s">
        <v>5</v>
      </c>
      <c r="Q23" s="121" t="s">
        <v>5</v>
      </c>
      <c r="R23" s="218" t="s">
        <v>5</v>
      </c>
      <c r="S23" s="142" t="s">
        <v>5</v>
      </c>
      <c r="T23" s="203" t="s">
        <v>5</v>
      </c>
      <c r="U23" s="22" t="s">
        <v>5</v>
      </c>
      <c r="V23" s="323" t="s">
        <v>5</v>
      </c>
      <c r="W23" s="4" t="str">
        <f t="shared" si="0"/>
        <v/>
      </c>
    </row>
    <row r="24" spans="1:23" s="40" customFormat="1" ht="15.75" customHeight="1">
      <c r="A24" s="235" t="s">
        <v>69</v>
      </c>
      <c r="B24" s="253">
        <v>1</v>
      </c>
      <c r="C24" s="267" t="s">
        <v>7</v>
      </c>
      <c r="D24" s="254" t="s">
        <v>5</v>
      </c>
      <c r="E24" s="143">
        <f>0.035*100</f>
        <v>3.5000000000000004</v>
      </c>
      <c r="F24" s="133">
        <v>0</v>
      </c>
      <c r="G24" s="140">
        <f>62052/12</f>
        <v>5171</v>
      </c>
      <c r="H24" s="143">
        <f>0.12*100</f>
        <v>12</v>
      </c>
      <c r="I24" s="139">
        <f>G24</f>
        <v>5171</v>
      </c>
      <c r="J24" s="140">
        <f>502200/12</f>
        <v>41850</v>
      </c>
      <c r="K24" s="121" t="s">
        <v>5</v>
      </c>
      <c r="L24" s="218" t="s">
        <v>5</v>
      </c>
      <c r="M24" s="142" t="s">
        <v>5</v>
      </c>
      <c r="N24" s="121" t="s">
        <v>5</v>
      </c>
      <c r="O24" s="218" t="s">
        <v>5</v>
      </c>
      <c r="P24" s="142" t="s">
        <v>5</v>
      </c>
      <c r="Q24" s="121" t="s">
        <v>5</v>
      </c>
      <c r="R24" s="218" t="s">
        <v>5</v>
      </c>
      <c r="S24" s="142" t="s">
        <v>5</v>
      </c>
      <c r="T24" s="189">
        <f>+E24/100*G24+H24/100*(J24-I24)</f>
        <v>4582.4649999999992</v>
      </c>
      <c r="U24" s="67" t="s">
        <v>5</v>
      </c>
      <c r="V24" s="237" t="s">
        <v>5</v>
      </c>
      <c r="W24" s="4" t="str">
        <f t="shared" si="0"/>
        <v/>
      </c>
    </row>
    <row r="25" spans="1:23" ht="15.75" customHeight="1">
      <c r="A25" s="235" t="s">
        <v>13</v>
      </c>
      <c r="B25" s="253">
        <v>1</v>
      </c>
      <c r="C25" s="333" t="s">
        <v>8</v>
      </c>
      <c r="D25" s="254" t="s">
        <v>5</v>
      </c>
      <c r="E25" s="127">
        <f>0.0949*100</f>
        <v>9.49</v>
      </c>
      <c r="F25" s="114">
        <v>0</v>
      </c>
      <c r="G25" s="181">
        <v>44204</v>
      </c>
      <c r="H25" s="127">
        <f>0.1049*100</f>
        <v>10.489999999999998</v>
      </c>
      <c r="I25" s="124">
        <f>G25</f>
        <v>44204</v>
      </c>
      <c r="J25" s="181">
        <v>96149</v>
      </c>
      <c r="K25" s="121" t="s">
        <v>5</v>
      </c>
      <c r="L25" s="218" t="s">
        <v>5</v>
      </c>
      <c r="M25" s="142" t="s">
        <v>5</v>
      </c>
      <c r="N25" s="121" t="s">
        <v>5</v>
      </c>
      <c r="O25" s="218" t="s">
        <v>5</v>
      </c>
      <c r="P25" s="142" t="s">
        <v>5</v>
      </c>
      <c r="Q25" s="121" t="s">
        <v>5</v>
      </c>
      <c r="R25" s="218" t="s">
        <v>5</v>
      </c>
      <c r="S25" s="142" t="s">
        <v>5</v>
      </c>
      <c r="T25" s="192">
        <f>((E25/100)*G25)+(H25/100)*(J25-I25)</f>
        <v>9643.9900999999991</v>
      </c>
      <c r="U25" s="279" t="s">
        <v>6</v>
      </c>
      <c r="V25" s="287">
        <v>100</v>
      </c>
      <c r="W25" s="4" t="str">
        <f t="shared" si="0"/>
        <v>A</v>
      </c>
    </row>
    <row r="26" spans="1:23" s="2" customFormat="1" ht="15.75" customHeight="1">
      <c r="A26" s="235" t="s">
        <v>14</v>
      </c>
      <c r="B26" s="253">
        <v>1</v>
      </c>
      <c r="C26" s="333" t="s">
        <v>7</v>
      </c>
      <c r="D26" s="329" t="s">
        <v>5</v>
      </c>
      <c r="E26" s="127">
        <f>0.08265*100+H26</f>
        <v>13.702500000000001</v>
      </c>
      <c r="F26" s="114">
        <v>0</v>
      </c>
      <c r="G26" s="181">
        <f>7440000/12</f>
        <v>620000</v>
      </c>
      <c r="H26" s="127">
        <f>0.049375*100+K26</f>
        <v>5.4375</v>
      </c>
      <c r="I26" s="124">
        <f>G26</f>
        <v>620000</v>
      </c>
      <c r="J26" s="181">
        <f>14520000/12</f>
        <v>1210000</v>
      </c>
      <c r="K26" s="127">
        <f>0.005*100</f>
        <v>0.5</v>
      </c>
      <c r="L26" s="124">
        <f>J26</f>
        <v>1210000</v>
      </c>
      <c r="M26" s="180" t="s">
        <v>5</v>
      </c>
      <c r="N26" s="121" t="s">
        <v>5</v>
      </c>
      <c r="O26" s="218" t="s">
        <v>5</v>
      </c>
      <c r="P26" s="142" t="s">
        <v>5</v>
      </c>
      <c r="Q26" s="121" t="s">
        <v>5</v>
      </c>
      <c r="R26" s="218" t="s">
        <v>5</v>
      </c>
      <c r="S26" s="142" t="s">
        <v>5</v>
      </c>
      <c r="T26" s="192" t="s">
        <v>5</v>
      </c>
      <c r="U26" s="19" t="s">
        <v>6</v>
      </c>
      <c r="V26" s="285">
        <v>100</v>
      </c>
      <c r="W26" s="4" t="str">
        <f t="shared" si="0"/>
        <v>A</v>
      </c>
    </row>
    <row r="27" spans="1:23" s="2" customFormat="1" ht="15.75" customHeight="1">
      <c r="A27" s="322" t="s">
        <v>15</v>
      </c>
      <c r="B27" s="253">
        <v>1</v>
      </c>
      <c r="C27" s="332" t="s">
        <v>7</v>
      </c>
      <c r="D27" s="254" t="s">
        <v>5</v>
      </c>
      <c r="E27" s="127">
        <f>(0.045*100)+H27</f>
        <v>8.1399499999999989</v>
      </c>
      <c r="F27" s="114">
        <v>0</v>
      </c>
      <c r="G27" s="181">
        <f>(2100600/0.045)/12</f>
        <v>3890000</v>
      </c>
      <c r="H27" s="127">
        <f>(0.0308995*100)+K27</f>
        <v>3.6399499999999998</v>
      </c>
      <c r="I27" s="114">
        <f>G27</f>
        <v>3890000</v>
      </c>
      <c r="J27" s="181">
        <f>(28959011/0.0308995)/12</f>
        <v>78099998.921233892</v>
      </c>
      <c r="K27" s="3">
        <f>0.0055*100</f>
        <v>0.54999999999999993</v>
      </c>
      <c r="L27" s="114">
        <f>J27</f>
        <v>78099998.921233892</v>
      </c>
      <c r="M27" s="142" t="s">
        <v>5</v>
      </c>
      <c r="N27" s="121" t="s">
        <v>5</v>
      </c>
      <c r="O27" s="218" t="s">
        <v>5</v>
      </c>
      <c r="P27" s="142" t="s">
        <v>5</v>
      </c>
      <c r="Q27" s="121" t="s">
        <v>5</v>
      </c>
      <c r="R27" s="218" t="s">
        <v>5</v>
      </c>
      <c r="S27" s="142" t="s">
        <v>5</v>
      </c>
      <c r="T27" s="188" t="s">
        <v>5</v>
      </c>
      <c r="U27" s="19" t="s">
        <v>6</v>
      </c>
      <c r="V27" s="285">
        <v>100</v>
      </c>
      <c r="W27" s="4" t="str">
        <f t="shared" si="0"/>
        <v>A</v>
      </c>
    </row>
    <row r="28" spans="1:23" s="40" customFormat="1">
      <c r="A28" s="513" t="s">
        <v>282</v>
      </c>
      <c r="B28" s="500">
        <v>1</v>
      </c>
      <c r="C28" s="30" t="s">
        <v>8</v>
      </c>
      <c r="D28" s="502" t="s">
        <v>5</v>
      </c>
      <c r="E28" s="503">
        <v>11</v>
      </c>
      <c r="F28" s="400" t="s">
        <v>5</v>
      </c>
      <c r="G28" s="396" t="s">
        <v>5</v>
      </c>
      <c r="H28" s="501"/>
      <c r="I28" s="504"/>
      <c r="J28" s="505"/>
      <c r="K28" s="501"/>
      <c r="L28" s="504"/>
      <c r="M28" s="505"/>
      <c r="N28" s="506"/>
      <c r="O28" s="504"/>
      <c r="P28" s="505"/>
      <c r="Q28" s="506"/>
      <c r="R28" s="504"/>
      <c r="S28" s="505"/>
      <c r="T28" s="507"/>
      <c r="U28" s="62" t="s">
        <v>6</v>
      </c>
      <c r="V28" s="375">
        <v>100</v>
      </c>
      <c r="W28" s="30" t="str">
        <f t="shared" si="0"/>
        <v>A</v>
      </c>
    </row>
    <row r="29" spans="1:23" ht="15.75" customHeight="1">
      <c r="A29" s="235" t="s">
        <v>70</v>
      </c>
      <c r="B29" s="253">
        <v>1</v>
      </c>
      <c r="C29" s="333" t="s">
        <v>8</v>
      </c>
      <c r="D29" s="254" t="s">
        <v>5</v>
      </c>
      <c r="E29" s="127">
        <f>0.1105*100</f>
        <v>11.05</v>
      </c>
      <c r="F29" s="114">
        <v>0</v>
      </c>
      <c r="G29" s="115">
        <v>108089.4</v>
      </c>
      <c r="H29" s="120" t="s">
        <v>5</v>
      </c>
      <c r="I29" s="219" t="s">
        <v>5</v>
      </c>
      <c r="J29" s="180" t="s">
        <v>5</v>
      </c>
      <c r="K29" s="120" t="s">
        <v>5</v>
      </c>
      <c r="L29" s="219" t="s">
        <v>5</v>
      </c>
      <c r="M29" s="180" t="s">
        <v>5</v>
      </c>
      <c r="N29" s="120" t="s">
        <v>5</v>
      </c>
      <c r="O29" s="219" t="s">
        <v>5</v>
      </c>
      <c r="P29" s="180" t="s">
        <v>5</v>
      </c>
      <c r="Q29" s="120" t="s">
        <v>5</v>
      </c>
      <c r="R29" s="219" t="s">
        <v>5</v>
      </c>
      <c r="S29" s="180" t="s">
        <v>5</v>
      </c>
      <c r="T29" s="192">
        <f>+G29*E29/100</f>
        <v>11943.878700000001</v>
      </c>
      <c r="U29" s="28" t="s">
        <v>6</v>
      </c>
      <c r="V29" s="286">
        <v>100</v>
      </c>
      <c r="W29" s="4" t="str">
        <f t="shared" si="0"/>
        <v>A</v>
      </c>
    </row>
    <row r="30" spans="1:23" ht="15.75" customHeight="1">
      <c r="A30" s="235" t="s">
        <v>70</v>
      </c>
      <c r="B30" s="253">
        <v>2</v>
      </c>
      <c r="C30" s="333" t="s">
        <v>8</v>
      </c>
      <c r="D30" s="327" t="s">
        <v>5</v>
      </c>
      <c r="E30" s="127">
        <f>0.014*100</f>
        <v>1.4000000000000001</v>
      </c>
      <c r="F30" s="114">
        <f>0.25*21617.88</f>
        <v>5404.47</v>
      </c>
      <c r="G30" s="115" t="s">
        <v>29</v>
      </c>
      <c r="H30" s="120" t="s">
        <v>5</v>
      </c>
      <c r="I30" s="219" t="s">
        <v>5</v>
      </c>
      <c r="J30" s="180" t="s">
        <v>5</v>
      </c>
      <c r="K30" s="120" t="s">
        <v>5</v>
      </c>
      <c r="L30" s="219" t="s">
        <v>5</v>
      </c>
      <c r="M30" s="180" t="s">
        <v>5</v>
      </c>
      <c r="N30" s="120" t="s">
        <v>5</v>
      </c>
      <c r="O30" s="219" t="s">
        <v>5</v>
      </c>
      <c r="P30" s="180" t="s">
        <v>5</v>
      </c>
      <c r="Q30" s="120" t="s">
        <v>5</v>
      </c>
      <c r="R30" s="219" t="s">
        <v>5</v>
      </c>
      <c r="S30" s="180" t="s">
        <v>5</v>
      </c>
      <c r="T30" s="192" t="s">
        <v>5</v>
      </c>
      <c r="U30" s="7" t="s">
        <v>5</v>
      </c>
      <c r="V30" s="288" t="s">
        <v>5</v>
      </c>
      <c r="W30" s="4" t="str">
        <f t="shared" si="0"/>
        <v/>
      </c>
    </row>
    <row r="31" spans="1:23" s="2" customFormat="1" ht="15.75" customHeight="1">
      <c r="A31" s="235" t="s">
        <v>71</v>
      </c>
      <c r="B31" s="253">
        <v>1</v>
      </c>
      <c r="C31" s="333" t="s">
        <v>7</v>
      </c>
      <c r="D31" s="329" t="s">
        <v>5</v>
      </c>
      <c r="E31" s="127">
        <f>0.625+0.625</f>
        <v>1.25</v>
      </c>
      <c r="F31" s="114">
        <v>0</v>
      </c>
      <c r="G31" s="318">
        <f>3*62.33*(365/12)</f>
        <v>5687.6125000000002</v>
      </c>
      <c r="H31" s="127">
        <f>E31+0.4</f>
        <v>1.65</v>
      </c>
      <c r="I31" s="315">
        <f>G31</f>
        <v>5687.6125000000002</v>
      </c>
      <c r="J31" s="318">
        <f>25*62.33*(365/12)</f>
        <v>47396.770833333336</v>
      </c>
      <c r="K31" s="174" t="s">
        <v>5</v>
      </c>
      <c r="L31" s="475" t="s">
        <v>5</v>
      </c>
      <c r="M31" s="226" t="s">
        <v>5</v>
      </c>
      <c r="N31" s="174" t="s">
        <v>5</v>
      </c>
      <c r="O31" s="475" t="s">
        <v>5</v>
      </c>
      <c r="P31" s="226" t="s">
        <v>5</v>
      </c>
      <c r="Q31" s="174" t="s">
        <v>5</v>
      </c>
      <c r="R31" s="475" t="s">
        <v>5</v>
      </c>
      <c r="S31" s="226" t="s">
        <v>5</v>
      </c>
      <c r="T31" s="192">
        <f>((E31/100)*G31)+(H31/100)*(J31-I31)</f>
        <v>759.29626875000008</v>
      </c>
      <c r="U31" s="280" t="s">
        <v>5</v>
      </c>
      <c r="V31" s="287" t="s">
        <v>5</v>
      </c>
      <c r="W31" s="4" t="str">
        <f t="shared" si="0"/>
        <v/>
      </c>
    </row>
    <row r="32" spans="1:23" ht="15.75" customHeight="1">
      <c r="A32" s="235" t="s">
        <v>60</v>
      </c>
      <c r="B32" s="253">
        <v>1</v>
      </c>
      <c r="C32" s="332" t="s">
        <v>6</v>
      </c>
      <c r="D32" s="259" t="s">
        <v>5</v>
      </c>
      <c r="E32" s="119">
        <f>(0.179+0.011+0.1215)*100</f>
        <v>31.15</v>
      </c>
      <c r="F32" s="114">
        <v>0</v>
      </c>
      <c r="G32" s="115">
        <v>33863</v>
      </c>
      <c r="H32" s="120" t="s">
        <v>5</v>
      </c>
      <c r="I32" s="219" t="s">
        <v>5</v>
      </c>
      <c r="J32" s="180" t="s">
        <v>5</v>
      </c>
      <c r="K32" s="120" t="s">
        <v>5</v>
      </c>
      <c r="L32" s="219" t="s">
        <v>5</v>
      </c>
      <c r="M32" s="180" t="s">
        <v>5</v>
      </c>
      <c r="N32" s="120" t="s">
        <v>5</v>
      </c>
      <c r="O32" s="219" t="s">
        <v>5</v>
      </c>
      <c r="P32" s="180" t="s">
        <v>5</v>
      </c>
      <c r="Q32" s="120" t="s">
        <v>5</v>
      </c>
      <c r="R32" s="219" t="s">
        <v>5</v>
      </c>
      <c r="S32" s="180" t="s">
        <v>5</v>
      </c>
      <c r="T32" s="192">
        <f>(G32-F32)*E32/100</f>
        <v>10548.324499999999</v>
      </c>
      <c r="U32" s="28" t="s">
        <v>6</v>
      </c>
      <c r="V32" s="286">
        <v>100</v>
      </c>
      <c r="W32" s="4" t="str">
        <f t="shared" si="0"/>
        <v>A</v>
      </c>
    </row>
    <row r="33" spans="1:23" ht="15.75" customHeight="1">
      <c r="A33" s="244" t="s">
        <v>42</v>
      </c>
      <c r="B33" s="276">
        <v>0</v>
      </c>
      <c r="C33" s="268" t="s">
        <v>250</v>
      </c>
      <c r="D33" s="261" t="s">
        <v>5</v>
      </c>
      <c r="E33" s="141" t="s">
        <v>5</v>
      </c>
      <c r="F33" s="222" t="s">
        <v>5</v>
      </c>
      <c r="G33" s="223" t="s">
        <v>5</v>
      </c>
      <c r="H33" s="120" t="s">
        <v>5</v>
      </c>
      <c r="I33" s="219" t="s">
        <v>5</v>
      </c>
      <c r="J33" s="180" t="s">
        <v>5</v>
      </c>
      <c r="K33" s="120" t="s">
        <v>5</v>
      </c>
      <c r="L33" s="219" t="s">
        <v>5</v>
      </c>
      <c r="M33" s="180" t="s">
        <v>5</v>
      </c>
      <c r="N33" s="120" t="s">
        <v>5</v>
      </c>
      <c r="O33" s="219" t="s">
        <v>5</v>
      </c>
      <c r="P33" s="180" t="s">
        <v>5</v>
      </c>
      <c r="Q33" s="120" t="s">
        <v>5</v>
      </c>
      <c r="R33" s="219" t="s">
        <v>5</v>
      </c>
      <c r="S33" s="180" t="s">
        <v>5</v>
      </c>
      <c r="T33" s="190" t="s">
        <v>5</v>
      </c>
      <c r="U33" s="111" t="s">
        <v>5</v>
      </c>
      <c r="V33" s="245" t="s">
        <v>5</v>
      </c>
      <c r="W33" s="4" t="str">
        <f t="shared" si="0"/>
        <v/>
      </c>
    </row>
    <row r="34" spans="1:23" ht="15.75" customHeight="1">
      <c r="A34" s="235" t="s">
        <v>64</v>
      </c>
      <c r="B34" s="253">
        <v>1</v>
      </c>
      <c r="C34" s="333" t="s">
        <v>8</v>
      </c>
      <c r="D34" s="326" t="s">
        <v>5</v>
      </c>
      <c r="E34" s="127">
        <f>0.078*100</f>
        <v>7.8</v>
      </c>
      <c r="F34" s="114" t="s">
        <v>65</v>
      </c>
      <c r="G34" s="115" t="s">
        <v>5</v>
      </c>
      <c r="H34" s="120" t="s">
        <v>5</v>
      </c>
      <c r="I34" s="219" t="s">
        <v>5</v>
      </c>
      <c r="J34" s="180" t="s">
        <v>5</v>
      </c>
      <c r="K34" s="120" t="s">
        <v>5</v>
      </c>
      <c r="L34" s="219" t="s">
        <v>5</v>
      </c>
      <c r="M34" s="180" t="s">
        <v>5</v>
      </c>
      <c r="N34" s="120" t="s">
        <v>5</v>
      </c>
      <c r="O34" s="219" t="s">
        <v>5</v>
      </c>
      <c r="P34" s="180" t="s">
        <v>5</v>
      </c>
      <c r="Q34" s="120" t="s">
        <v>5</v>
      </c>
      <c r="R34" s="219" t="s">
        <v>5</v>
      </c>
      <c r="S34" s="180" t="s">
        <v>5</v>
      </c>
      <c r="T34" s="203" t="s">
        <v>5</v>
      </c>
      <c r="U34" s="54" t="s">
        <v>5</v>
      </c>
      <c r="V34" s="287" t="s">
        <v>5</v>
      </c>
      <c r="W34" s="4" t="str">
        <f t="shared" si="0"/>
        <v/>
      </c>
    </row>
    <row r="35" spans="1:23" ht="15.75" customHeight="1">
      <c r="A35" s="235" t="s">
        <v>72</v>
      </c>
      <c r="B35" s="253">
        <v>1</v>
      </c>
      <c r="C35" s="333" t="s">
        <v>8</v>
      </c>
      <c r="D35" s="254" t="s">
        <v>5</v>
      </c>
      <c r="E35" s="127">
        <f>(0.0611+0.015)*100</f>
        <v>7.61</v>
      </c>
      <c r="F35" s="114">
        <v>0</v>
      </c>
      <c r="G35" s="318">
        <v>105780</v>
      </c>
      <c r="H35" s="127">
        <f>0.0245*100</f>
        <v>2.4500000000000002</v>
      </c>
      <c r="I35" s="315">
        <f>G35</f>
        <v>105780</v>
      </c>
      <c r="J35" s="226" t="s">
        <v>5</v>
      </c>
      <c r="K35" s="174" t="s">
        <v>5</v>
      </c>
      <c r="L35" s="475" t="s">
        <v>5</v>
      </c>
      <c r="M35" s="226" t="s">
        <v>5</v>
      </c>
      <c r="N35" s="174" t="s">
        <v>5</v>
      </c>
      <c r="O35" s="475" t="s">
        <v>5</v>
      </c>
      <c r="P35" s="226" t="s">
        <v>5</v>
      </c>
      <c r="Q35" s="174" t="s">
        <v>5</v>
      </c>
      <c r="R35" s="475" t="s">
        <v>5</v>
      </c>
      <c r="S35" s="226" t="s">
        <v>5</v>
      </c>
      <c r="T35" s="188" t="s">
        <v>5</v>
      </c>
      <c r="U35" s="19" t="s">
        <v>6</v>
      </c>
      <c r="V35" s="285">
        <v>100</v>
      </c>
      <c r="W35" s="4" t="str">
        <f t="shared" si="0"/>
        <v>A</v>
      </c>
    </row>
    <row r="36" spans="1:23" ht="15.75" customHeight="1">
      <c r="A36" s="235" t="s">
        <v>72</v>
      </c>
      <c r="B36" s="253">
        <v>2</v>
      </c>
      <c r="C36" s="333" t="s">
        <v>8</v>
      </c>
      <c r="D36" s="254" t="s">
        <v>5</v>
      </c>
      <c r="E36" s="127">
        <f>0.09*100</f>
        <v>9</v>
      </c>
      <c r="F36" s="319" t="s">
        <v>5</v>
      </c>
      <c r="G36" s="320" t="s">
        <v>5</v>
      </c>
      <c r="H36" s="163" t="s">
        <v>5</v>
      </c>
      <c r="I36" s="395" t="s">
        <v>5</v>
      </c>
      <c r="J36" s="472" t="s">
        <v>5</v>
      </c>
      <c r="K36" s="163" t="s">
        <v>5</v>
      </c>
      <c r="L36" s="395" t="s">
        <v>5</v>
      </c>
      <c r="M36" s="472" t="s">
        <v>5</v>
      </c>
      <c r="N36" s="163" t="s">
        <v>5</v>
      </c>
      <c r="O36" s="395" t="s">
        <v>5</v>
      </c>
      <c r="P36" s="472" t="s">
        <v>5</v>
      </c>
      <c r="Q36" s="163" t="s">
        <v>5</v>
      </c>
      <c r="R36" s="395" t="s">
        <v>5</v>
      </c>
      <c r="S36" s="472" t="s">
        <v>5</v>
      </c>
      <c r="T36" s="188" t="s">
        <v>5</v>
      </c>
      <c r="U36" s="19" t="s">
        <v>6</v>
      </c>
      <c r="V36" s="285">
        <v>100</v>
      </c>
      <c r="W36" s="4" t="str">
        <f t="shared" si="0"/>
        <v>A</v>
      </c>
    </row>
    <row r="37" spans="1:23" ht="15.75" customHeight="1">
      <c r="A37" s="235" t="s">
        <v>17</v>
      </c>
      <c r="B37" s="253">
        <v>1</v>
      </c>
      <c r="C37" s="333" t="s">
        <v>7</v>
      </c>
      <c r="D37" s="326" t="s">
        <v>5</v>
      </c>
      <c r="E37" s="127">
        <f>0.11*100</f>
        <v>11</v>
      </c>
      <c r="F37" s="319" t="s">
        <v>5</v>
      </c>
      <c r="G37" s="320" t="s">
        <v>5</v>
      </c>
      <c r="H37" s="163" t="s">
        <v>5</v>
      </c>
      <c r="I37" s="395" t="s">
        <v>5</v>
      </c>
      <c r="J37" s="472" t="s">
        <v>5</v>
      </c>
      <c r="K37" s="163" t="s">
        <v>5</v>
      </c>
      <c r="L37" s="395" t="s">
        <v>5</v>
      </c>
      <c r="M37" s="472" t="s">
        <v>5</v>
      </c>
      <c r="N37" s="163" t="s">
        <v>5</v>
      </c>
      <c r="O37" s="395" t="s">
        <v>5</v>
      </c>
      <c r="P37" s="472" t="s">
        <v>5</v>
      </c>
      <c r="Q37" s="163" t="s">
        <v>5</v>
      </c>
      <c r="R37" s="395" t="s">
        <v>5</v>
      </c>
      <c r="S37" s="472" t="s">
        <v>5</v>
      </c>
      <c r="T37" s="203" t="s">
        <v>5</v>
      </c>
      <c r="U37" s="19" t="s">
        <v>6</v>
      </c>
      <c r="V37" s="285">
        <v>100</v>
      </c>
      <c r="W37" s="4" t="str">
        <f t="shared" si="0"/>
        <v>A</v>
      </c>
    </row>
    <row r="38" spans="1:23" ht="15.75" customHeight="1">
      <c r="A38" s="235" t="s">
        <v>51</v>
      </c>
      <c r="B38" s="253">
        <v>1</v>
      </c>
      <c r="C38" s="333" t="s">
        <v>7</v>
      </c>
      <c r="D38" s="327" t="s">
        <v>5</v>
      </c>
      <c r="E38" s="127">
        <f>(0.014+0.04+0.08)*100</f>
        <v>13.4</v>
      </c>
      <c r="F38" s="133" t="str">
        <f>"["&amp;ROUND(327.2,1)&amp;"]"</f>
        <v>[327.2]</v>
      </c>
      <c r="G38" s="115">
        <f>13842/12</f>
        <v>1153.5</v>
      </c>
      <c r="H38" s="127">
        <f>(0.04+0.08)*100</f>
        <v>12</v>
      </c>
      <c r="I38" s="219">
        <f>G38</f>
        <v>1153.5</v>
      </c>
      <c r="J38" s="180">
        <f>27684/12</f>
        <v>2307</v>
      </c>
      <c r="K38" s="127">
        <f>0.08*100</f>
        <v>8</v>
      </c>
      <c r="L38" s="219">
        <f>J38</f>
        <v>2307</v>
      </c>
      <c r="M38" s="180">
        <f>36912/12</f>
        <v>3076</v>
      </c>
      <c r="N38" s="120" t="s">
        <v>5</v>
      </c>
      <c r="O38" s="219" t="s">
        <v>5</v>
      </c>
      <c r="P38" s="180" t="s">
        <v>5</v>
      </c>
      <c r="Q38" s="120" t="s">
        <v>5</v>
      </c>
      <c r="R38" s="219" t="s">
        <v>5</v>
      </c>
      <c r="S38" s="180" t="s">
        <v>5</v>
      </c>
      <c r="T38" s="188" t="s">
        <v>5</v>
      </c>
      <c r="U38" s="28" t="s">
        <v>6</v>
      </c>
      <c r="V38" s="286">
        <v>100</v>
      </c>
      <c r="W38" s="4" t="str">
        <f t="shared" si="0"/>
        <v>A</v>
      </c>
    </row>
    <row r="39" spans="1:23" ht="15.75" customHeight="1">
      <c r="A39" s="235" t="s">
        <v>59</v>
      </c>
      <c r="B39" s="253">
        <v>1</v>
      </c>
      <c r="C39" s="333" t="s">
        <v>7</v>
      </c>
      <c r="D39" s="326" t="s">
        <v>5</v>
      </c>
      <c r="E39" s="127">
        <f>0.221*100</f>
        <v>22.1</v>
      </c>
      <c r="F39" s="319" t="s">
        <v>5</v>
      </c>
      <c r="G39" s="320" t="s">
        <v>5</v>
      </c>
      <c r="H39" s="163" t="s">
        <v>5</v>
      </c>
      <c r="I39" s="395" t="s">
        <v>5</v>
      </c>
      <c r="J39" s="472" t="s">
        <v>5</v>
      </c>
      <c r="K39" s="163" t="s">
        <v>5</v>
      </c>
      <c r="L39" s="395" t="s">
        <v>5</v>
      </c>
      <c r="M39" s="472" t="s">
        <v>5</v>
      </c>
      <c r="N39" s="163" t="s">
        <v>5</v>
      </c>
      <c r="O39" s="395" t="s">
        <v>5</v>
      </c>
      <c r="P39" s="472" t="s">
        <v>5</v>
      </c>
      <c r="Q39" s="163" t="s">
        <v>5</v>
      </c>
      <c r="R39" s="395" t="s">
        <v>5</v>
      </c>
      <c r="S39" s="472" t="s">
        <v>5</v>
      </c>
      <c r="T39" s="188" t="s">
        <v>5</v>
      </c>
      <c r="U39" s="19" t="s">
        <v>6</v>
      </c>
      <c r="V39" s="285">
        <v>100</v>
      </c>
      <c r="W39" s="4" t="str">
        <f t="shared" si="0"/>
        <v>A</v>
      </c>
    </row>
    <row r="40" spans="1:23" ht="15.75" customHeight="1">
      <c r="A40" s="235" t="s">
        <v>213</v>
      </c>
      <c r="B40" s="253">
        <v>1</v>
      </c>
      <c r="C40" s="333" t="s">
        <v>8</v>
      </c>
      <c r="D40" s="326" t="s">
        <v>5</v>
      </c>
      <c r="E40" s="127">
        <f>(0.047+0.0155+0.001)*100</f>
        <v>6.35</v>
      </c>
      <c r="F40" s="114" t="s">
        <v>86</v>
      </c>
      <c r="G40" s="115">
        <v>39150</v>
      </c>
      <c r="H40" s="120" t="s">
        <v>5</v>
      </c>
      <c r="I40" s="219" t="s">
        <v>5</v>
      </c>
      <c r="J40" s="180" t="s">
        <v>5</v>
      </c>
      <c r="K40" s="120" t="s">
        <v>5</v>
      </c>
      <c r="L40" s="219" t="s">
        <v>5</v>
      </c>
      <c r="M40" s="180" t="s">
        <v>5</v>
      </c>
      <c r="N40" s="120" t="s">
        <v>5</v>
      </c>
      <c r="O40" s="219" t="s">
        <v>5</v>
      </c>
      <c r="P40" s="180" t="s">
        <v>5</v>
      </c>
      <c r="Q40" s="120" t="s">
        <v>5</v>
      </c>
      <c r="R40" s="219" t="s">
        <v>5</v>
      </c>
      <c r="S40" s="180" t="s">
        <v>5</v>
      </c>
      <c r="T40" s="192">
        <f>G40*(E40/100)</f>
        <v>2486.0250000000001</v>
      </c>
      <c r="U40" s="19" t="s">
        <v>6</v>
      </c>
      <c r="V40" s="285">
        <v>100</v>
      </c>
      <c r="W40" s="4" t="str">
        <f t="shared" si="0"/>
        <v>A</v>
      </c>
    </row>
    <row r="41" spans="1:23" ht="15.75" customHeight="1">
      <c r="A41" s="235" t="s">
        <v>73</v>
      </c>
      <c r="B41" s="253">
        <v>1</v>
      </c>
      <c r="C41" s="333" t="s">
        <v>8</v>
      </c>
      <c r="D41" s="254" t="s">
        <v>5</v>
      </c>
      <c r="E41" s="127">
        <f>0.07*100</f>
        <v>7.0000000000000009</v>
      </c>
      <c r="F41" s="114" t="str">
        <f>"["&amp;0.423*44000&amp;"]"</f>
        <v>[18612]</v>
      </c>
      <c r="G41" s="115">
        <f>8.07*54600</f>
        <v>440622</v>
      </c>
      <c r="H41" s="120" t="s">
        <v>5</v>
      </c>
      <c r="I41" s="219" t="s">
        <v>5</v>
      </c>
      <c r="J41" s="180" t="s">
        <v>5</v>
      </c>
      <c r="K41" s="120" t="s">
        <v>5</v>
      </c>
      <c r="L41" s="219" t="s">
        <v>5</v>
      </c>
      <c r="M41" s="180" t="s">
        <v>5</v>
      </c>
      <c r="N41" s="120" t="s">
        <v>5</v>
      </c>
      <c r="O41" s="219" t="s">
        <v>5</v>
      </c>
      <c r="P41" s="180" t="s">
        <v>5</v>
      </c>
      <c r="Q41" s="120" t="s">
        <v>5</v>
      </c>
      <c r="R41" s="219" t="s">
        <v>5</v>
      </c>
      <c r="S41" s="180" t="s">
        <v>5</v>
      </c>
      <c r="T41" s="192">
        <f>ROUND(E41*G41/100,-2)</f>
        <v>30800</v>
      </c>
      <c r="U41" s="19" t="s">
        <v>28</v>
      </c>
      <c r="V41" s="285">
        <v>100</v>
      </c>
      <c r="W41" s="4" t="str">
        <f t="shared" si="0"/>
        <v>C</v>
      </c>
    </row>
    <row r="42" spans="1:23" ht="15.75" customHeight="1">
      <c r="A42" s="235" t="s">
        <v>74</v>
      </c>
      <c r="B42" s="253">
        <v>1</v>
      </c>
      <c r="C42" s="333" t="s">
        <v>8</v>
      </c>
      <c r="D42" s="254" t="s">
        <v>5</v>
      </c>
      <c r="E42" s="127">
        <f>(0.011*100)+K42</f>
        <v>6.2499999999999991</v>
      </c>
      <c r="F42" s="319">
        <v>0</v>
      </c>
      <c r="G42" s="181">
        <v>126000</v>
      </c>
      <c r="H42" s="127">
        <f>(0.005*100)+K42</f>
        <v>5.6499999999999995</v>
      </c>
      <c r="I42" s="124">
        <f>G42</f>
        <v>126000</v>
      </c>
      <c r="J42" s="126">
        <f>315000</f>
        <v>315000</v>
      </c>
      <c r="K42" s="127">
        <f>0.0515*100</f>
        <v>5.1499999999999995</v>
      </c>
      <c r="L42" s="124">
        <f>J42</f>
        <v>315000</v>
      </c>
      <c r="M42" s="142" t="s">
        <v>5</v>
      </c>
      <c r="N42" s="121" t="s">
        <v>5</v>
      </c>
      <c r="O42" s="218" t="s">
        <v>5</v>
      </c>
      <c r="P42" s="142" t="s">
        <v>5</v>
      </c>
      <c r="Q42" s="121" t="s">
        <v>5</v>
      </c>
      <c r="R42" s="218" t="s">
        <v>5</v>
      </c>
      <c r="S42" s="142" t="s">
        <v>5</v>
      </c>
      <c r="T42" s="188" t="s">
        <v>5</v>
      </c>
      <c r="U42" s="19" t="s">
        <v>6</v>
      </c>
      <c r="V42" s="285">
        <v>100</v>
      </c>
      <c r="W42" s="4" t="str">
        <f t="shared" si="0"/>
        <v>A</v>
      </c>
    </row>
    <row r="43" spans="1:23" s="2" customFormat="1" ht="15.75" customHeight="1">
      <c r="A43" s="235" t="s">
        <v>43</v>
      </c>
      <c r="B43" s="253">
        <v>1</v>
      </c>
      <c r="C43" s="333" t="s">
        <v>8</v>
      </c>
      <c r="D43" s="326" t="s">
        <v>5</v>
      </c>
      <c r="E43" s="127">
        <f>0.15*100</f>
        <v>15</v>
      </c>
      <c r="F43" s="319" t="s">
        <v>88</v>
      </c>
      <c r="G43" s="320">
        <v>71255</v>
      </c>
      <c r="H43" s="163" t="s">
        <v>5</v>
      </c>
      <c r="I43" s="395" t="s">
        <v>5</v>
      </c>
      <c r="J43" s="472" t="s">
        <v>5</v>
      </c>
      <c r="K43" s="163" t="s">
        <v>5</v>
      </c>
      <c r="L43" s="395" t="s">
        <v>5</v>
      </c>
      <c r="M43" s="472" t="s">
        <v>5</v>
      </c>
      <c r="N43" s="163" t="s">
        <v>5</v>
      </c>
      <c r="O43" s="395" t="s">
        <v>5</v>
      </c>
      <c r="P43" s="472" t="s">
        <v>5</v>
      </c>
      <c r="Q43" s="163" t="s">
        <v>5</v>
      </c>
      <c r="R43" s="395" t="s">
        <v>5</v>
      </c>
      <c r="S43" s="472" t="s">
        <v>5</v>
      </c>
      <c r="T43" s="128">
        <f>G43*E43/100</f>
        <v>10688.25</v>
      </c>
      <c r="U43" s="19" t="s">
        <v>6</v>
      </c>
      <c r="V43" s="285">
        <v>100</v>
      </c>
      <c r="W43" s="4" t="str">
        <f t="shared" si="0"/>
        <v>A</v>
      </c>
    </row>
    <row r="44" spans="1:23" ht="15.75" customHeight="1">
      <c r="A44" s="235" t="s">
        <v>47</v>
      </c>
      <c r="B44" s="253">
        <v>1</v>
      </c>
      <c r="C44" s="333" t="s">
        <v>19</v>
      </c>
      <c r="D44" s="254" t="s">
        <v>5</v>
      </c>
      <c r="E44" s="127">
        <f>0.12*100</f>
        <v>12</v>
      </c>
      <c r="F44" s="319">
        <f>7605/52</f>
        <v>146.25</v>
      </c>
      <c r="G44" s="320">
        <f>42475/52</f>
        <v>816.82692307692309</v>
      </c>
      <c r="H44" s="127">
        <f>0.02*100</f>
        <v>2</v>
      </c>
      <c r="I44" s="319">
        <f>G44</f>
        <v>816.82692307692309</v>
      </c>
      <c r="J44" s="320" t="s">
        <v>5</v>
      </c>
      <c r="K44" s="163" t="s">
        <v>5</v>
      </c>
      <c r="L44" s="395" t="s">
        <v>5</v>
      </c>
      <c r="M44" s="472" t="s">
        <v>5</v>
      </c>
      <c r="N44" s="163" t="s">
        <v>5</v>
      </c>
      <c r="O44" s="395" t="s">
        <v>5</v>
      </c>
      <c r="P44" s="472" t="s">
        <v>5</v>
      </c>
      <c r="Q44" s="163" t="s">
        <v>5</v>
      </c>
      <c r="R44" s="395" t="s">
        <v>5</v>
      </c>
      <c r="S44" s="472" t="s">
        <v>5</v>
      </c>
      <c r="T44" s="136" t="s">
        <v>5</v>
      </c>
      <c r="U44" s="168" t="s">
        <v>5</v>
      </c>
      <c r="V44" s="291" t="s">
        <v>5</v>
      </c>
      <c r="W44" s="4" t="str">
        <f t="shared" si="0"/>
        <v/>
      </c>
    </row>
    <row r="45" spans="1:23" ht="15.75" customHeight="1">
      <c r="A45" s="246" t="s">
        <v>20</v>
      </c>
      <c r="B45" s="262">
        <v>1</v>
      </c>
      <c r="C45" s="334" t="s">
        <v>8</v>
      </c>
      <c r="D45" s="331" t="s">
        <v>5</v>
      </c>
      <c r="E45" s="293">
        <f>(0.042*100)+H45</f>
        <v>5.65</v>
      </c>
      <c r="F45" s="321">
        <v>0</v>
      </c>
      <c r="G45" s="123">
        <v>110100</v>
      </c>
      <c r="H45" s="293">
        <f>0.0145*100</f>
        <v>1.4500000000000002</v>
      </c>
      <c r="I45" s="122">
        <f>G45</f>
        <v>110100</v>
      </c>
      <c r="J45" s="125" t="s">
        <v>5</v>
      </c>
      <c r="K45" s="476" t="s">
        <v>5</v>
      </c>
      <c r="L45" s="477" t="s">
        <v>5</v>
      </c>
      <c r="M45" s="125" t="s">
        <v>5</v>
      </c>
      <c r="N45" s="476" t="s">
        <v>5</v>
      </c>
      <c r="O45" s="477" t="s">
        <v>5</v>
      </c>
      <c r="P45" s="125" t="s">
        <v>5</v>
      </c>
      <c r="Q45" s="476" t="s">
        <v>5</v>
      </c>
      <c r="R45" s="477" t="s">
        <v>5</v>
      </c>
      <c r="S45" s="125" t="s">
        <v>5</v>
      </c>
      <c r="T45" s="324" t="s">
        <v>5</v>
      </c>
      <c r="U45" s="295" t="s">
        <v>5</v>
      </c>
      <c r="V45" s="296" t="s">
        <v>5</v>
      </c>
      <c r="W45" s="4" t="str">
        <f t="shared" si="0"/>
        <v/>
      </c>
    </row>
    <row r="46" spans="1:23" ht="15.75" customHeight="1">
      <c r="A46" s="176"/>
      <c r="B46" s="169"/>
      <c r="C46" s="19"/>
      <c r="D46" s="42"/>
      <c r="E46" s="18"/>
      <c r="F46" s="88"/>
      <c r="G46" s="22"/>
      <c r="H46" s="22"/>
      <c r="I46" s="22"/>
      <c r="J46" s="22"/>
      <c r="K46" s="22"/>
      <c r="L46" s="22"/>
      <c r="M46" s="22"/>
      <c r="N46" s="22"/>
      <c r="O46" s="22"/>
      <c r="P46" s="22"/>
      <c r="Q46" s="22"/>
      <c r="R46" s="22"/>
      <c r="S46" s="22"/>
      <c r="T46" s="59"/>
      <c r="U46" s="54"/>
      <c r="V46" s="57"/>
    </row>
    <row r="47" spans="1:23" s="75" customFormat="1" ht="12.75" customHeight="1">
      <c r="A47" s="535" t="s">
        <v>94</v>
      </c>
      <c r="B47" s="535"/>
      <c r="C47" s="535"/>
      <c r="D47" s="535"/>
      <c r="E47" s="535"/>
      <c r="F47" s="535"/>
      <c r="G47" s="535"/>
      <c r="H47" s="535"/>
      <c r="I47" s="535"/>
      <c r="J47" s="535"/>
      <c r="K47" s="535"/>
      <c r="L47" s="535"/>
      <c r="M47" s="535"/>
      <c r="N47" s="535"/>
      <c r="O47" s="535"/>
      <c r="P47" s="535"/>
      <c r="Q47" s="535"/>
      <c r="R47" s="535"/>
      <c r="S47" s="535"/>
      <c r="T47" s="535"/>
      <c r="U47" s="535"/>
      <c r="V47" s="535"/>
    </row>
    <row r="48" spans="1:23" s="76" customFormat="1" ht="12.75" customHeight="1">
      <c r="A48" s="539" t="s">
        <v>95</v>
      </c>
      <c r="B48" s="539"/>
      <c r="C48" s="539"/>
      <c r="D48" s="539"/>
      <c r="E48" s="539"/>
      <c r="F48" s="539"/>
      <c r="G48" s="539"/>
      <c r="H48" s="539"/>
      <c r="I48" s="539"/>
      <c r="J48" s="539"/>
      <c r="K48" s="539"/>
      <c r="L48" s="539"/>
      <c r="M48" s="539"/>
      <c r="N48" s="539"/>
      <c r="O48" s="539"/>
      <c r="P48" s="539"/>
      <c r="Q48" s="539"/>
      <c r="R48" s="539"/>
      <c r="S48" s="539"/>
      <c r="T48" s="539"/>
      <c r="U48" s="539"/>
      <c r="V48" s="539"/>
    </row>
    <row r="49" spans="1:33" s="76" customFormat="1" ht="12.75" customHeight="1">
      <c r="A49" s="539" t="s">
        <v>107</v>
      </c>
      <c r="B49" s="539"/>
      <c r="C49" s="539"/>
      <c r="D49" s="539"/>
      <c r="E49" s="539"/>
      <c r="F49" s="539"/>
      <c r="G49" s="539"/>
      <c r="H49" s="539"/>
      <c r="I49" s="539"/>
      <c r="J49" s="539"/>
      <c r="K49" s="539"/>
      <c r="L49" s="539"/>
      <c r="M49" s="539"/>
      <c r="N49" s="539"/>
      <c r="O49" s="539"/>
      <c r="P49" s="539"/>
      <c r="Q49" s="539"/>
      <c r="R49" s="539"/>
      <c r="S49" s="539"/>
      <c r="T49" s="539"/>
      <c r="U49" s="539"/>
      <c r="V49" s="539"/>
    </row>
    <row r="50" spans="1:33" s="76" customFormat="1" ht="12.75" customHeight="1">
      <c r="A50" s="539" t="s">
        <v>108</v>
      </c>
      <c r="B50" s="539"/>
      <c r="C50" s="539"/>
      <c r="D50" s="539"/>
      <c r="E50" s="539"/>
      <c r="F50" s="539"/>
      <c r="G50" s="539"/>
      <c r="H50" s="539"/>
      <c r="I50" s="539"/>
      <c r="J50" s="539"/>
      <c r="K50" s="539"/>
      <c r="L50" s="539"/>
      <c r="M50" s="539"/>
      <c r="N50" s="539"/>
      <c r="O50" s="539"/>
      <c r="P50" s="539"/>
      <c r="Q50" s="539"/>
      <c r="R50" s="539"/>
      <c r="S50" s="539"/>
      <c r="T50" s="539"/>
      <c r="U50" s="539"/>
      <c r="V50" s="539"/>
    </row>
    <row r="51" spans="1:33" s="76" customFormat="1" ht="12.75" customHeight="1">
      <c r="A51" s="516" t="s">
        <v>1</v>
      </c>
      <c r="B51" s="84" t="s">
        <v>122</v>
      </c>
      <c r="C51" s="509" t="s">
        <v>123</v>
      </c>
      <c r="D51" s="103"/>
      <c r="E51" s="103"/>
      <c r="F51" s="104"/>
      <c r="U51" s="99"/>
      <c r="V51" s="99"/>
    </row>
    <row r="52" spans="1:33" s="76" customFormat="1" ht="12.75" customHeight="1">
      <c r="A52" s="517"/>
      <c r="B52" s="85" t="s">
        <v>124</v>
      </c>
      <c r="C52" s="510" t="s">
        <v>126</v>
      </c>
      <c r="D52" s="105"/>
      <c r="E52" s="105"/>
      <c r="F52" s="106"/>
      <c r="U52" s="83"/>
      <c r="V52" s="83"/>
    </row>
    <row r="53" spans="1:33" s="76" customFormat="1" ht="12.75" customHeight="1">
      <c r="A53" s="517"/>
      <c r="B53" s="86" t="s">
        <v>125</v>
      </c>
      <c r="C53" s="511" t="s">
        <v>136</v>
      </c>
      <c r="D53" s="107"/>
      <c r="E53" s="107"/>
      <c r="F53" s="108"/>
      <c r="U53" s="83"/>
      <c r="V53" s="83"/>
    </row>
    <row r="54" spans="1:33" s="76" customFormat="1" ht="12.75" customHeight="1">
      <c r="A54" s="517"/>
      <c r="C54" s="78"/>
      <c r="D54" s="93"/>
      <c r="E54" s="93"/>
      <c r="F54" s="93"/>
      <c r="U54" s="83"/>
      <c r="V54" s="83"/>
    </row>
    <row r="55" spans="1:33" s="76" customFormat="1" ht="12.75" customHeight="1">
      <c r="A55" s="518" t="s">
        <v>127</v>
      </c>
      <c r="B55" s="84" t="s">
        <v>128</v>
      </c>
      <c r="C55" s="509" t="s">
        <v>129</v>
      </c>
      <c r="D55" s="103"/>
      <c r="E55" s="103"/>
      <c r="F55" s="104"/>
      <c r="U55" s="99"/>
      <c r="V55" s="99"/>
    </row>
    <row r="56" spans="1:33" s="76" customFormat="1" ht="12.75" customHeight="1">
      <c r="A56" s="517"/>
      <c r="B56" s="85" t="s">
        <v>130</v>
      </c>
      <c r="C56" s="510" t="s">
        <v>133</v>
      </c>
      <c r="D56" s="105"/>
      <c r="E56" s="105"/>
      <c r="F56" s="106"/>
      <c r="U56" s="83"/>
      <c r="V56" s="83"/>
    </row>
    <row r="57" spans="1:33" s="76" customFormat="1" ht="12.75" customHeight="1">
      <c r="A57" s="517"/>
      <c r="B57" s="85" t="s">
        <v>131</v>
      </c>
      <c r="C57" s="510" t="s">
        <v>132</v>
      </c>
      <c r="D57" s="105"/>
      <c r="E57" s="105"/>
      <c r="F57" s="106"/>
      <c r="U57" s="83"/>
      <c r="V57" s="83"/>
    </row>
    <row r="58" spans="1:33" s="76" customFormat="1" ht="12.75" customHeight="1">
      <c r="A58" s="517"/>
      <c r="B58" s="85" t="s">
        <v>134</v>
      </c>
      <c r="C58" s="510" t="s">
        <v>135</v>
      </c>
      <c r="D58" s="105"/>
      <c r="E58" s="105"/>
      <c r="F58" s="106"/>
      <c r="U58" s="83"/>
      <c r="V58" s="83"/>
    </row>
    <row r="59" spans="1:33" s="76" customFormat="1" ht="12.75" customHeight="1">
      <c r="A59" s="519"/>
      <c r="B59" s="86" t="s">
        <v>28</v>
      </c>
      <c r="C59" s="511" t="s">
        <v>214</v>
      </c>
      <c r="D59" s="109"/>
      <c r="E59" s="109"/>
      <c r="F59" s="110"/>
      <c r="U59" s="83"/>
      <c r="V59" s="83"/>
    </row>
    <row r="60" spans="1:33" s="76" customFormat="1" ht="12.75" customHeight="1">
      <c r="A60" s="520"/>
      <c r="B60" s="78"/>
      <c r="C60" s="78"/>
      <c r="D60" s="83"/>
      <c r="F60" s="83"/>
      <c r="G60" s="83"/>
      <c r="H60" s="83"/>
      <c r="I60" s="83"/>
      <c r="J60" s="83"/>
      <c r="K60" s="83"/>
      <c r="L60" s="83"/>
      <c r="M60" s="83"/>
      <c r="N60" s="83"/>
      <c r="O60" s="83"/>
      <c r="P60" s="83"/>
      <c r="Q60" s="83"/>
      <c r="R60" s="83"/>
      <c r="S60" s="83"/>
      <c r="T60" s="83"/>
      <c r="U60" s="83"/>
      <c r="V60" s="83"/>
    </row>
    <row r="61" spans="1:33" s="76" customFormat="1">
      <c r="A61" s="540" t="s">
        <v>96</v>
      </c>
      <c r="B61" s="540"/>
      <c r="C61" s="540"/>
      <c r="D61" s="540"/>
      <c r="E61" s="540"/>
      <c r="F61" s="540"/>
      <c r="G61" s="540"/>
      <c r="H61" s="540"/>
      <c r="I61" s="540"/>
      <c r="J61" s="540"/>
      <c r="K61" s="540"/>
      <c r="L61" s="540"/>
      <c r="M61" s="540"/>
      <c r="N61" s="540"/>
      <c r="O61" s="540"/>
      <c r="P61" s="540"/>
      <c r="Q61" s="540"/>
      <c r="R61" s="540"/>
      <c r="S61" s="540"/>
      <c r="T61" s="540"/>
      <c r="U61" s="540"/>
      <c r="V61" s="540"/>
    </row>
    <row r="62" spans="1:33" s="76" customFormat="1">
      <c r="A62" s="539" t="s">
        <v>97</v>
      </c>
      <c r="B62" s="539"/>
      <c r="C62" s="539"/>
      <c r="D62" s="539"/>
      <c r="E62" s="539"/>
      <c r="F62" s="539"/>
      <c r="G62" s="539"/>
      <c r="H62" s="539"/>
      <c r="I62" s="539"/>
      <c r="J62" s="539"/>
      <c r="K62" s="539"/>
      <c r="L62" s="539"/>
      <c r="M62" s="539"/>
      <c r="N62" s="539"/>
      <c r="O62" s="539"/>
      <c r="P62" s="539"/>
      <c r="Q62" s="539"/>
      <c r="R62" s="539"/>
      <c r="S62" s="539"/>
      <c r="T62" s="539"/>
      <c r="U62" s="539"/>
      <c r="V62" s="539"/>
    </row>
    <row r="63" spans="1:33" s="76" customFormat="1" ht="22.5" customHeight="1">
      <c r="A63" s="521" t="s">
        <v>98</v>
      </c>
      <c r="B63" s="177"/>
      <c r="C63" s="512"/>
      <c r="D63" s="177"/>
      <c r="E63" s="177"/>
      <c r="F63" s="177"/>
      <c r="G63" s="177"/>
      <c r="H63" s="177"/>
      <c r="I63" s="177"/>
      <c r="J63" s="177"/>
      <c r="K63" s="177"/>
      <c r="L63" s="177"/>
      <c r="M63" s="177"/>
      <c r="N63" s="177"/>
      <c r="O63" s="177"/>
      <c r="P63" s="177"/>
      <c r="Q63" s="177"/>
      <c r="R63" s="177"/>
      <c r="S63" s="177"/>
      <c r="T63" s="177"/>
      <c r="U63" s="177"/>
      <c r="V63" s="177"/>
    </row>
    <row r="64" spans="1:33" s="76" customFormat="1" ht="50.25" customHeight="1">
      <c r="A64" s="539" t="s">
        <v>238</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22.5" customHeight="1">
      <c r="A65" s="539" t="s">
        <v>226</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35.25" customHeight="1">
      <c r="A66" s="539" t="s">
        <v>227</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65.25" customHeight="1">
      <c r="A67" s="539" t="s">
        <v>228</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132" customHeight="1">
      <c r="A68" s="539" t="s">
        <v>229</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50.25" customHeight="1">
      <c r="A69" s="539" t="s">
        <v>230</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s="76" customFormat="1" ht="25.5" customHeight="1">
      <c r="A71" s="540" t="s">
        <v>259</v>
      </c>
      <c r="B71" s="540"/>
      <c r="C71" s="540"/>
      <c r="D71" s="540"/>
      <c r="E71" s="540"/>
      <c r="F71" s="540"/>
      <c r="G71" s="540"/>
      <c r="H71" s="540"/>
      <c r="I71" s="540"/>
      <c r="J71" s="540"/>
      <c r="K71" s="540"/>
      <c r="L71" s="540"/>
      <c r="M71" s="540"/>
      <c r="N71" s="540"/>
      <c r="O71" s="540"/>
      <c r="P71" s="540"/>
      <c r="Q71" s="540"/>
      <c r="R71" s="540"/>
      <c r="S71" s="540"/>
      <c r="T71" s="540"/>
      <c r="U71" s="540"/>
      <c r="V71" s="540"/>
    </row>
    <row r="72" spans="1:33" ht="39.75" customHeight="1">
      <c r="A72" s="543" t="s">
        <v>196</v>
      </c>
      <c r="B72" s="543"/>
      <c r="C72" s="543"/>
      <c r="D72" s="543"/>
      <c r="E72" s="543"/>
      <c r="F72" s="543"/>
      <c r="G72" s="543"/>
      <c r="H72" s="543"/>
      <c r="I72" s="543"/>
      <c r="J72" s="543"/>
      <c r="K72" s="543"/>
      <c r="L72" s="543"/>
      <c r="M72" s="543"/>
      <c r="N72" s="543"/>
      <c r="O72" s="543"/>
      <c r="P72" s="543"/>
      <c r="Q72" s="543"/>
      <c r="R72" s="543"/>
      <c r="S72" s="543"/>
      <c r="T72" s="543"/>
      <c r="U72" s="543"/>
      <c r="V72" s="543"/>
    </row>
    <row r="73" spans="1:33" ht="39.75" customHeight="1">
      <c r="A73" s="543" t="s">
        <v>239</v>
      </c>
      <c r="B73" s="543"/>
      <c r="C73" s="543"/>
      <c r="D73" s="543"/>
      <c r="E73" s="543"/>
      <c r="F73" s="543"/>
      <c r="G73" s="543"/>
      <c r="H73" s="543"/>
      <c r="I73" s="543"/>
      <c r="J73" s="543"/>
      <c r="K73" s="543"/>
      <c r="L73" s="543"/>
      <c r="M73" s="543"/>
      <c r="N73" s="543"/>
      <c r="O73" s="543"/>
      <c r="P73" s="543"/>
      <c r="Q73" s="543"/>
      <c r="R73" s="543"/>
      <c r="S73" s="543"/>
      <c r="T73" s="543"/>
      <c r="U73" s="543"/>
      <c r="V73" s="543"/>
    </row>
    <row r="74" spans="1:33" ht="34.5" customHeight="1">
      <c r="A74" s="543" t="s">
        <v>215</v>
      </c>
      <c r="B74" s="543"/>
      <c r="C74" s="543"/>
      <c r="D74" s="543"/>
      <c r="E74" s="543"/>
      <c r="F74" s="543"/>
      <c r="G74" s="543"/>
      <c r="H74" s="543"/>
      <c r="I74" s="543"/>
      <c r="J74" s="543"/>
      <c r="K74" s="543"/>
      <c r="L74" s="543"/>
      <c r="M74" s="543"/>
      <c r="N74" s="543"/>
      <c r="O74" s="543"/>
      <c r="P74" s="543"/>
      <c r="Q74" s="543"/>
      <c r="R74" s="543"/>
      <c r="S74" s="543"/>
      <c r="T74" s="543"/>
      <c r="U74" s="543"/>
      <c r="V74" s="543"/>
    </row>
    <row r="75" spans="1:33" ht="26.25" customHeight="1">
      <c r="A75" s="543" t="s">
        <v>139</v>
      </c>
      <c r="B75" s="543"/>
      <c r="C75" s="543"/>
      <c r="D75" s="543"/>
      <c r="E75" s="543"/>
      <c r="F75" s="543"/>
      <c r="G75" s="543"/>
      <c r="H75" s="543"/>
      <c r="I75" s="543"/>
      <c r="J75" s="543"/>
      <c r="K75" s="543"/>
      <c r="L75" s="543"/>
      <c r="M75" s="543"/>
      <c r="N75" s="543"/>
      <c r="O75" s="543"/>
      <c r="P75" s="543"/>
      <c r="Q75" s="543"/>
      <c r="R75" s="543"/>
      <c r="S75" s="543"/>
      <c r="T75" s="543"/>
      <c r="U75" s="543"/>
      <c r="V75" s="543"/>
    </row>
    <row r="76" spans="1:33" ht="39.75" customHeight="1">
      <c r="A76" s="543" t="s">
        <v>197</v>
      </c>
      <c r="B76" s="543"/>
      <c r="C76" s="543"/>
      <c r="D76" s="543"/>
      <c r="E76" s="543"/>
      <c r="F76" s="543"/>
      <c r="G76" s="543"/>
      <c r="H76" s="543"/>
      <c r="I76" s="543"/>
      <c r="J76" s="543"/>
      <c r="K76" s="543"/>
      <c r="L76" s="543"/>
      <c r="M76" s="543"/>
      <c r="N76" s="543"/>
      <c r="O76" s="543"/>
      <c r="P76" s="543"/>
      <c r="Q76" s="543"/>
      <c r="R76" s="543"/>
      <c r="S76" s="543"/>
      <c r="T76" s="543"/>
      <c r="U76" s="543"/>
      <c r="V76" s="543"/>
    </row>
    <row r="77" spans="1:33" ht="24" customHeight="1">
      <c r="A77" s="543" t="s">
        <v>140</v>
      </c>
      <c r="B77" s="543"/>
      <c r="C77" s="543"/>
      <c r="D77" s="543"/>
      <c r="E77" s="543"/>
      <c r="F77" s="543"/>
      <c r="G77" s="543"/>
      <c r="H77" s="543"/>
      <c r="I77" s="543"/>
      <c r="J77" s="543"/>
      <c r="K77" s="543"/>
      <c r="L77" s="543"/>
      <c r="M77" s="543"/>
      <c r="N77" s="543"/>
      <c r="O77" s="543"/>
      <c r="P77" s="543"/>
      <c r="Q77" s="543"/>
      <c r="R77" s="543"/>
      <c r="S77" s="543"/>
      <c r="T77" s="543"/>
      <c r="U77" s="543"/>
      <c r="V77" s="543"/>
    </row>
    <row r="78" spans="1:33" s="76" customFormat="1" ht="20.25" customHeight="1">
      <c r="A78" s="540" t="s">
        <v>217</v>
      </c>
      <c r="B78" s="540"/>
      <c r="C78" s="540"/>
      <c r="D78" s="540"/>
      <c r="E78" s="540"/>
      <c r="F78" s="540"/>
      <c r="G78" s="540"/>
      <c r="H78" s="540"/>
      <c r="I78" s="540"/>
      <c r="J78" s="540"/>
      <c r="K78" s="540"/>
      <c r="L78" s="540"/>
      <c r="M78" s="540"/>
      <c r="N78" s="540"/>
      <c r="O78" s="540"/>
      <c r="P78" s="540"/>
      <c r="Q78" s="540"/>
      <c r="R78" s="540"/>
      <c r="S78" s="540"/>
      <c r="T78" s="540"/>
      <c r="U78" s="540"/>
      <c r="V78" s="540"/>
    </row>
    <row r="79" spans="1:33" ht="39.75" customHeight="1">
      <c r="A79" s="543" t="s">
        <v>244</v>
      </c>
      <c r="B79" s="543"/>
      <c r="C79" s="543"/>
      <c r="D79" s="543"/>
      <c r="E79" s="543"/>
      <c r="F79" s="543"/>
      <c r="G79" s="543"/>
      <c r="H79" s="543"/>
      <c r="I79" s="543"/>
      <c r="J79" s="543"/>
      <c r="K79" s="543"/>
      <c r="L79" s="543"/>
      <c r="M79" s="543"/>
      <c r="N79" s="543"/>
      <c r="O79" s="543"/>
      <c r="P79" s="543"/>
      <c r="Q79" s="543"/>
      <c r="R79" s="543"/>
      <c r="S79" s="543"/>
      <c r="T79" s="543"/>
      <c r="U79" s="543"/>
      <c r="V79" s="543"/>
    </row>
    <row r="80" spans="1:33" ht="39.75" customHeight="1">
      <c r="A80" s="543" t="s">
        <v>141</v>
      </c>
      <c r="B80" s="543"/>
      <c r="C80" s="543"/>
      <c r="D80" s="543"/>
      <c r="E80" s="543"/>
      <c r="F80" s="543"/>
      <c r="G80" s="543"/>
      <c r="H80" s="543"/>
      <c r="I80" s="543"/>
      <c r="J80" s="543"/>
      <c r="K80" s="543"/>
      <c r="L80" s="543"/>
      <c r="M80" s="543"/>
      <c r="N80" s="543"/>
      <c r="O80" s="543"/>
      <c r="P80" s="543"/>
      <c r="Q80" s="543"/>
      <c r="R80" s="543"/>
      <c r="S80" s="543"/>
      <c r="T80" s="543"/>
      <c r="U80" s="543"/>
      <c r="V80" s="543"/>
    </row>
    <row r="81" spans="1:22" ht="39.75" customHeight="1">
      <c r="A81" s="543" t="s">
        <v>202</v>
      </c>
      <c r="B81" s="543"/>
      <c r="C81" s="543"/>
      <c r="D81" s="543"/>
      <c r="E81" s="543"/>
      <c r="F81" s="543"/>
      <c r="G81" s="543"/>
      <c r="H81" s="543"/>
      <c r="I81" s="543"/>
      <c r="J81" s="543"/>
      <c r="K81" s="543"/>
      <c r="L81" s="543"/>
      <c r="M81" s="543"/>
      <c r="N81" s="543"/>
      <c r="O81" s="543"/>
      <c r="P81" s="543"/>
      <c r="Q81" s="543"/>
      <c r="R81" s="543"/>
      <c r="S81" s="543"/>
      <c r="T81" s="543"/>
      <c r="U81" s="543"/>
      <c r="V81" s="543"/>
    </row>
    <row r="82" spans="1:22" ht="39.75" customHeight="1">
      <c r="A82" s="543" t="s">
        <v>189</v>
      </c>
      <c r="B82" s="543"/>
      <c r="C82" s="543"/>
      <c r="D82" s="543"/>
      <c r="E82" s="543"/>
      <c r="F82" s="543"/>
      <c r="G82" s="543"/>
      <c r="H82" s="543"/>
      <c r="I82" s="543"/>
      <c r="J82" s="543"/>
      <c r="K82" s="543"/>
      <c r="L82" s="543"/>
      <c r="M82" s="543"/>
      <c r="N82" s="543"/>
      <c r="O82" s="543"/>
      <c r="P82" s="543"/>
      <c r="Q82" s="543"/>
      <c r="R82" s="543"/>
      <c r="S82" s="543"/>
      <c r="T82" s="543"/>
      <c r="U82" s="543"/>
      <c r="V82" s="543"/>
    </row>
    <row r="83" spans="1:22" ht="39.75" customHeight="1">
      <c r="A83" s="543" t="s">
        <v>203</v>
      </c>
      <c r="B83" s="543"/>
      <c r="C83" s="543"/>
      <c r="D83" s="543"/>
      <c r="E83" s="543"/>
      <c r="F83" s="543"/>
      <c r="G83" s="543"/>
      <c r="H83" s="543"/>
      <c r="I83" s="543"/>
      <c r="J83" s="543"/>
      <c r="K83" s="543"/>
      <c r="L83" s="543"/>
      <c r="M83" s="543"/>
      <c r="N83" s="543"/>
      <c r="O83" s="543"/>
      <c r="P83" s="543"/>
      <c r="Q83" s="543"/>
      <c r="R83" s="543"/>
      <c r="S83" s="543"/>
      <c r="T83" s="543"/>
      <c r="U83" s="543"/>
      <c r="V83" s="543"/>
    </row>
    <row r="84" spans="1:22" ht="39.75" customHeight="1">
      <c r="A84" s="543" t="s">
        <v>185</v>
      </c>
      <c r="B84" s="543"/>
      <c r="C84" s="543"/>
      <c r="D84" s="543"/>
      <c r="E84" s="543"/>
      <c r="F84" s="543"/>
      <c r="G84" s="543"/>
      <c r="H84" s="543"/>
      <c r="I84" s="543"/>
      <c r="J84" s="543"/>
      <c r="K84" s="543"/>
      <c r="L84" s="543"/>
      <c r="M84" s="543"/>
      <c r="N84" s="543"/>
      <c r="O84" s="543"/>
      <c r="P84" s="543"/>
      <c r="Q84" s="543"/>
      <c r="R84" s="543"/>
      <c r="S84" s="543"/>
      <c r="T84" s="543"/>
      <c r="U84" s="543"/>
      <c r="V84" s="543"/>
    </row>
    <row r="85" spans="1:22" ht="39.75" customHeight="1">
      <c r="A85" s="543" t="s">
        <v>181</v>
      </c>
      <c r="B85" s="543"/>
      <c r="C85" s="543"/>
      <c r="D85" s="543"/>
      <c r="E85" s="543"/>
      <c r="F85" s="543"/>
      <c r="G85" s="543"/>
      <c r="H85" s="543"/>
      <c r="I85" s="543"/>
      <c r="J85" s="543"/>
      <c r="K85" s="543"/>
      <c r="L85" s="543"/>
      <c r="M85" s="543"/>
      <c r="N85" s="543"/>
      <c r="O85" s="543"/>
      <c r="P85" s="543"/>
      <c r="Q85" s="543"/>
      <c r="R85" s="543"/>
      <c r="S85" s="543"/>
      <c r="T85" s="543"/>
      <c r="U85" s="543"/>
      <c r="V85" s="543"/>
    </row>
    <row r="86" spans="1:22" ht="39.75" customHeight="1">
      <c r="A86" s="543" t="s">
        <v>146</v>
      </c>
      <c r="B86" s="543"/>
      <c r="C86" s="543"/>
      <c r="D86" s="543"/>
      <c r="E86" s="543"/>
      <c r="F86" s="543"/>
      <c r="G86" s="543"/>
      <c r="H86" s="543"/>
      <c r="I86" s="543"/>
      <c r="J86" s="543"/>
      <c r="K86" s="543"/>
      <c r="L86" s="543"/>
      <c r="M86" s="543"/>
      <c r="N86" s="543"/>
      <c r="O86" s="543"/>
      <c r="P86" s="543"/>
      <c r="Q86" s="543"/>
      <c r="R86" s="543"/>
      <c r="S86" s="543"/>
      <c r="T86" s="543"/>
      <c r="U86" s="543"/>
      <c r="V86" s="543"/>
    </row>
    <row r="87" spans="1:22" ht="39.75" customHeight="1">
      <c r="A87" s="543" t="s">
        <v>186</v>
      </c>
      <c r="B87" s="543"/>
      <c r="C87" s="543"/>
      <c r="D87" s="543"/>
      <c r="E87" s="543"/>
      <c r="F87" s="543"/>
      <c r="G87" s="543"/>
      <c r="H87" s="543"/>
      <c r="I87" s="543"/>
      <c r="J87" s="543"/>
      <c r="K87" s="543"/>
      <c r="L87" s="543"/>
      <c r="M87" s="543"/>
      <c r="N87" s="543"/>
      <c r="O87" s="543"/>
      <c r="P87" s="543"/>
      <c r="Q87" s="543"/>
      <c r="R87" s="543"/>
      <c r="S87" s="543"/>
      <c r="T87" s="543"/>
      <c r="U87" s="543"/>
      <c r="V87" s="543"/>
    </row>
    <row r="88" spans="1:22" ht="39.75" customHeight="1">
      <c r="A88" s="543" t="s">
        <v>100</v>
      </c>
      <c r="B88" s="543"/>
      <c r="C88" s="543"/>
      <c r="D88" s="543"/>
      <c r="E88" s="543"/>
      <c r="F88" s="543"/>
      <c r="G88" s="543"/>
      <c r="H88" s="543"/>
      <c r="I88" s="543"/>
      <c r="J88" s="543"/>
      <c r="K88" s="543"/>
      <c r="L88" s="543"/>
      <c r="M88" s="543"/>
      <c r="N88" s="543"/>
      <c r="O88" s="543"/>
      <c r="P88" s="543"/>
      <c r="Q88" s="543"/>
      <c r="R88" s="543"/>
      <c r="S88" s="543"/>
      <c r="T88" s="543"/>
      <c r="U88" s="543"/>
      <c r="V88" s="543"/>
    </row>
    <row r="89" spans="1:22" ht="39.75" customHeight="1">
      <c r="A89" s="544" t="s">
        <v>148</v>
      </c>
      <c r="B89" s="544"/>
      <c r="C89" s="544"/>
      <c r="D89" s="544"/>
      <c r="E89" s="544"/>
      <c r="F89" s="544"/>
      <c r="G89" s="544"/>
      <c r="H89" s="544"/>
      <c r="I89" s="544"/>
      <c r="J89" s="544"/>
      <c r="K89" s="544"/>
      <c r="L89" s="544"/>
      <c r="M89" s="544"/>
      <c r="N89" s="544"/>
      <c r="O89" s="544"/>
      <c r="P89" s="544"/>
      <c r="Q89" s="544"/>
      <c r="R89" s="544"/>
      <c r="S89" s="544"/>
      <c r="T89" s="544"/>
      <c r="U89" s="544"/>
      <c r="V89" s="544"/>
    </row>
    <row r="90" spans="1:22" ht="39.75" customHeight="1">
      <c r="A90" s="543" t="s">
        <v>149</v>
      </c>
      <c r="B90" s="543"/>
      <c r="C90" s="543"/>
      <c r="D90" s="543"/>
      <c r="E90" s="543"/>
      <c r="F90" s="543"/>
      <c r="G90" s="543"/>
      <c r="H90" s="543"/>
      <c r="I90" s="543"/>
      <c r="J90" s="543"/>
      <c r="K90" s="543"/>
      <c r="L90" s="543"/>
      <c r="M90" s="543"/>
      <c r="N90" s="543"/>
      <c r="O90" s="543"/>
      <c r="P90" s="543"/>
      <c r="Q90" s="543"/>
      <c r="R90" s="543"/>
      <c r="S90" s="543"/>
      <c r="T90" s="543"/>
      <c r="U90" s="543"/>
      <c r="V90" s="543"/>
    </row>
    <row r="91" spans="1:22" ht="39.75" customHeight="1">
      <c r="A91" s="544" t="s">
        <v>101</v>
      </c>
      <c r="B91" s="544"/>
      <c r="C91" s="544"/>
      <c r="D91" s="544"/>
      <c r="E91" s="544"/>
      <c r="F91" s="544"/>
      <c r="G91" s="544"/>
      <c r="H91" s="544"/>
      <c r="I91" s="544"/>
      <c r="J91" s="544"/>
      <c r="K91" s="544"/>
      <c r="L91" s="544"/>
      <c r="M91" s="544"/>
      <c r="N91" s="544"/>
      <c r="O91" s="544"/>
      <c r="P91" s="544"/>
      <c r="Q91" s="544"/>
      <c r="R91" s="544"/>
      <c r="S91" s="544"/>
      <c r="T91" s="544"/>
      <c r="U91" s="544"/>
      <c r="V91" s="544"/>
    </row>
    <row r="113" spans="1:65">
      <c r="A113" s="526"/>
      <c r="B113" s="28"/>
      <c r="C113" s="170"/>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row>
    <row r="114" spans="1:65">
      <c r="A114" s="527"/>
      <c r="B114" s="170"/>
      <c r="C114" s="170"/>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row>
  </sheetData>
  <mergeCells count="39">
    <mergeCell ref="A78:V78"/>
    <mergeCell ref="A61:V61"/>
    <mergeCell ref="A62:V62"/>
    <mergeCell ref="A73:V73"/>
    <mergeCell ref="A75:V75"/>
    <mergeCell ref="A76:V76"/>
    <mergeCell ref="A77:V77"/>
    <mergeCell ref="A72:V72"/>
    <mergeCell ref="A74:V74"/>
    <mergeCell ref="A65:V65"/>
    <mergeCell ref="A66:V66"/>
    <mergeCell ref="A67:V67"/>
    <mergeCell ref="A68:V68"/>
    <mergeCell ref="A69:V69"/>
    <mergeCell ref="A70:V70"/>
    <mergeCell ref="A71:V71"/>
    <mergeCell ref="A87:V87"/>
    <mergeCell ref="A88:V88"/>
    <mergeCell ref="A89:V89"/>
    <mergeCell ref="A90:V90"/>
    <mergeCell ref="A91:V91"/>
    <mergeCell ref="A84:V84"/>
    <mergeCell ref="A85:V85"/>
    <mergeCell ref="A86:V86"/>
    <mergeCell ref="A79:V79"/>
    <mergeCell ref="A80:V80"/>
    <mergeCell ref="A81:V81"/>
    <mergeCell ref="A82:V82"/>
    <mergeCell ref="A83:V83"/>
    <mergeCell ref="A47:V47"/>
    <mergeCell ref="A48:V48"/>
    <mergeCell ref="A49:V49"/>
    <mergeCell ref="A50:V50"/>
    <mergeCell ref="A64:V64"/>
    <mergeCell ref="F3:G3"/>
    <mergeCell ref="I3:J3"/>
    <mergeCell ref="L3:M3"/>
    <mergeCell ref="O3:P3"/>
    <mergeCell ref="R3:S3"/>
  </mergeCells>
  <pageMargins left="0.75" right="0.75" top="0.5" bottom="0.21" header="0.5" footer="0.24"/>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M115"/>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2" customWidth="1"/>
    <col min="5" max="5" width="8.7109375" style="8" customWidth="1"/>
    <col min="6" max="7" width="12.7109375" style="10" customWidth="1"/>
    <col min="8" max="8" width="8.7109375" style="10" customWidth="1"/>
    <col min="9" max="10" width="12.7109375" style="10" customWidth="1"/>
    <col min="11" max="11" width="8.7109375" style="10" customWidth="1"/>
    <col min="12" max="13" width="12.7109375" style="10" customWidth="1"/>
    <col min="14" max="14" width="8.7109375" style="10" customWidth="1"/>
    <col min="15" max="16" width="12.7109375" style="10" customWidth="1"/>
    <col min="17" max="17" width="8.7109375" style="10" customWidth="1"/>
    <col min="18" max="19" width="12.7109375" style="10" customWidth="1"/>
    <col min="20" max="20" width="12.7109375" style="9" customWidth="1"/>
    <col min="21" max="21" width="5" style="2" bestFit="1" customWidth="1"/>
    <col min="22" max="22" width="15.42578125" style="14" customWidth="1"/>
    <col min="23" max="23" width="12.7109375" style="4" hidden="1" customWidth="1"/>
    <col min="24" max="29" width="12.7109375" style="4" customWidth="1"/>
    <col min="30" max="16384" width="9.140625" style="4"/>
  </cols>
  <sheetData>
    <row r="1" spans="1:23" s="41" customFormat="1" ht="30" customHeight="1">
      <c r="A1" s="514" t="s">
        <v>85</v>
      </c>
      <c r="B1" s="102"/>
      <c r="C1" s="508"/>
      <c r="D1" s="45"/>
      <c r="E1" s="46"/>
      <c r="F1" s="47"/>
      <c r="G1" s="47"/>
      <c r="H1" s="47"/>
      <c r="I1" s="47"/>
      <c r="J1" s="47"/>
      <c r="K1" s="47"/>
      <c r="L1" s="47"/>
      <c r="M1" s="47"/>
      <c r="N1" s="47"/>
      <c r="O1" s="47"/>
      <c r="P1" s="47"/>
      <c r="Q1" s="47"/>
      <c r="R1" s="47"/>
      <c r="S1" s="47"/>
      <c r="T1" s="45"/>
      <c r="U1" s="45"/>
      <c r="V1" s="48"/>
    </row>
    <row r="2" spans="1:23" s="41" customFormat="1" ht="30" customHeight="1">
      <c r="A2" s="514" t="s">
        <v>103</v>
      </c>
      <c r="B2" s="102"/>
      <c r="C2" s="508"/>
      <c r="D2" s="45"/>
      <c r="E2" s="46"/>
      <c r="F2" s="47"/>
      <c r="G2" s="47"/>
      <c r="H2" s="47"/>
      <c r="I2" s="47"/>
      <c r="J2" s="47"/>
      <c r="K2" s="47"/>
      <c r="L2" s="47"/>
      <c r="M2" s="47"/>
      <c r="N2" s="47"/>
      <c r="O2" s="47"/>
      <c r="P2" s="47"/>
      <c r="Q2" s="47"/>
      <c r="R2" s="47"/>
      <c r="S2" s="47"/>
      <c r="T2" s="45"/>
      <c r="U2" s="45"/>
      <c r="V2" s="48"/>
    </row>
    <row r="3" spans="1:23" s="41" customFormat="1" ht="30" customHeight="1">
      <c r="A3" s="514"/>
      <c r="B3" s="102"/>
      <c r="C3" s="508"/>
      <c r="D3" s="45"/>
      <c r="E3" s="46"/>
      <c r="F3" s="536" t="s">
        <v>248</v>
      </c>
      <c r="G3" s="537"/>
      <c r="H3" s="47"/>
      <c r="I3" s="536" t="s">
        <v>248</v>
      </c>
      <c r="J3" s="537"/>
      <c r="K3" s="47"/>
      <c r="L3" s="536" t="s">
        <v>248</v>
      </c>
      <c r="M3" s="537"/>
      <c r="N3" s="47"/>
      <c r="O3" s="536" t="s">
        <v>248</v>
      </c>
      <c r="P3" s="537"/>
      <c r="Q3" s="47"/>
      <c r="R3" s="536" t="s">
        <v>248</v>
      </c>
      <c r="S3" s="537"/>
      <c r="T3" s="45"/>
      <c r="U3" s="45"/>
      <c r="V3" s="48"/>
    </row>
    <row r="4" spans="1:23"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27" t="s">
        <v>33</v>
      </c>
      <c r="B5" s="298">
        <v>0</v>
      </c>
      <c r="C5" s="228" t="s">
        <v>250</v>
      </c>
      <c r="D5" s="301" t="s">
        <v>5</v>
      </c>
      <c r="E5" s="282" t="s">
        <v>5</v>
      </c>
      <c r="F5" s="312" t="s">
        <v>5</v>
      </c>
      <c r="G5" s="313" t="s">
        <v>5</v>
      </c>
      <c r="H5" s="283"/>
      <c r="I5" s="312"/>
      <c r="J5" s="313"/>
      <c r="K5" s="283"/>
      <c r="L5" s="312"/>
      <c r="M5" s="313"/>
      <c r="N5" s="283"/>
      <c r="O5" s="312"/>
      <c r="P5" s="313"/>
      <c r="Q5" s="283"/>
      <c r="R5" s="312"/>
      <c r="S5" s="313"/>
      <c r="T5" s="284" t="s">
        <v>5</v>
      </c>
      <c r="U5" s="228" t="s">
        <v>5</v>
      </c>
      <c r="V5" s="234" t="s">
        <v>5</v>
      </c>
      <c r="W5" s="4" t="str">
        <f>IF(U5="TY","A",IF(U5="TY/TYs","AB",IF(U5="TYs", "B",IF(U5="TC","C",IF(U5="-","",)))))</f>
        <v/>
      </c>
    </row>
    <row r="6" spans="1:23" ht="15" customHeight="1">
      <c r="A6" s="235" t="s">
        <v>50</v>
      </c>
      <c r="B6" s="267">
        <v>1</v>
      </c>
      <c r="C6" s="28" t="s">
        <v>7</v>
      </c>
      <c r="D6" s="302" t="s">
        <v>5</v>
      </c>
      <c r="E6" s="127">
        <v>0</v>
      </c>
      <c r="F6" s="114">
        <v>0</v>
      </c>
      <c r="G6" s="115">
        <f>14*374.02</f>
        <v>5236.28</v>
      </c>
      <c r="H6" s="127">
        <f>3.95+10.25+(0.5+0.5)*6/7</f>
        <v>15.057142857142857</v>
      </c>
      <c r="I6" s="114">
        <f>G6</f>
        <v>5236.28</v>
      </c>
      <c r="J6" s="115">
        <f>1179*14</f>
        <v>16506</v>
      </c>
      <c r="K6" s="127">
        <f>3.95+10.25+(0.5+0.5)*6/7+1</f>
        <v>16.057142857142857</v>
      </c>
      <c r="L6" s="114">
        <f>J6</f>
        <v>16506</v>
      </c>
      <c r="M6" s="115">
        <f>1286*14</f>
        <v>18004</v>
      </c>
      <c r="N6" s="127">
        <f>3.95+10.25+(0.5+0.5)*6/7+2</f>
        <v>17.057142857142857</v>
      </c>
      <c r="O6" s="114">
        <f>M6</f>
        <v>18004</v>
      </c>
      <c r="P6" s="115">
        <f>1447*14</f>
        <v>20258</v>
      </c>
      <c r="Q6" s="127">
        <f>3.95+10.25+(0.5+0.5)*6/7+3</f>
        <v>18.057142857142857</v>
      </c>
      <c r="R6" s="114">
        <f>P6</f>
        <v>20258</v>
      </c>
      <c r="S6" s="115">
        <f>4200*14</f>
        <v>58800</v>
      </c>
      <c r="T6" s="192">
        <f>S6*Q6/100</f>
        <v>10617.6</v>
      </c>
      <c r="U6" s="19" t="s">
        <v>6</v>
      </c>
      <c r="V6" s="285">
        <v>100</v>
      </c>
      <c r="W6" s="4" t="str">
        <f t="shared" ref="W6:W45" si="0">IF(U6="TY","A",IF(U6="TY/TYs","AB",IF(U6="TYs", "B",IF(U6="TC","C",IF(U6="-","",)))))</f>
        <v>A</v>
      </c>
    </row>
    <row r="7" spans="1:23" ht="15" customHeight="1">
      <c r="A7" s="235" t="s">
        <v>26</v>
      </c>
      <c r="B7" s="267">
        <v>1</v>
      </c>
      <c r="C7" s="19" t="s">
        <v>7</v>
      </c>
      <c r="D7" s="302" t="s">
        <v>5</v>
      </c>
      <c r="E7" s="127">
        <f>(0.0087+0.0115+0.0355+0.075)*100</f>
        <v>13.069999999999999</v>
      </c>
      <c r="F7" s="314" t="s">
        <v>5</v>
      </c>
      <c r="G7" s="126" t="s">
        <v>5</v>
      </c>
      <c r="H7" s="121" t="s">
        <v>5</v>
      </c>
      <c r="I7" s="218" t="s">
        <v>5</v>
      </c>
      <c r="J7" s="142" t="s">
        <v>5</v>
      </c>
      <c r="K7" s="121" t="s">
        <v>5</v>
      </c>
      <c r="L7" s="218" t="s">
        <v>5</v>
      </c>
      <c r="M7" s="142" t="s">
        <v>5</v>
      </c>
      <c r="N7" s="121" t="s">
        <v>5</v>
      </c>
      <c r="O7" s="218" t="s">
        <v>5</v>
      </c>
      <c r="P7" s="142" t="s">
        <v>5</v>
      </c>
      <c r="Q7" s="121" t="s">
        <v>5</v>
      </c>
      <c r="R7" s="218" t="s">
        <v>5</v>
      </c>
      <c r="S7" s="142" t="s">
        <v>5</v>
      </c>
      <c r="T7" s="203" t="s">
        <v>5</v>
      </c>
      <c r="U7" s="19" t="s">
        <v>6</v>
      </c>
      <c r="V7" s="285">
        <v>100</v>
      </c>
      <c r="W7" s="4" t="str">
        <f t="shared" si="0"/>
        <v>A</v>
      </c>
    </row>
    <row r="8" spans="1:23" ht="15" customHeight="1">
      <c r="A8" s="235" t="s">
        <v>49</v>
      </c>
      <c r="B8" s="267">
        <v>1</v>
      </c>
      <c r="C8" s="19" t="s">
        <v>8</v>
      </c>
      <c r="D8" s="303" t="s">
        <v>5</v>
      </c>
      <c r="E8" s="127">
        <f>0.0178*100</f>
        <v>1.78</v>
      </c>
      <c r="F8" s="114">
        <v>0</v>
      </c>
      <c r="G8" s="115">
        <v>3500</v>
      </c>
      <c r="H8" s="127">
        <f>E8+(0.0495*100)</f>
        <v>6.73</v>
      </c>
      <c r="I8" s="114">
        <f>G8</f>
        <v>3500</v>
      </c>
      <c r="J8" s="115">
        <f>786.76/0.0178</f>
        <v>44200</v>
      </c>
      <c r="K8" s="127">
        <f>0.0495*100</f>
        <v>4.95</v>
      </c>
      <c r="L8" s="114">
        <f>J8</f>
        <v>44200</v>
      </c>
      <c r="M8" s="115">
        <f>(2217.6/0.0495)+3500</f>
        <v>48299.999999999993</v>
      </c>
      <c r="N8" s="120" t="s">
        <v>5</v>
      </c>
      <c r="O8" s="219" t="s">
        <v>5</v>
      </c>
      <c r="P8" s="180" t="s">
        <v>5</v>
      </c>
      <c r="Q8" s="120" t="s">
        <v>5</v>
      </c>
      <c r="R8" s="219" t="s">
        <v>5</v>
      </c>
      <c r="S8" s="180" t="s">
        <v>5</v>
      </c>
      <c r="T8" s="192">
        <f>(G8-F8)*E8/100 + (J8-I8)*H8/100 + (M8-L8)*K8/100</f>
        <v>3004.36</v>
      </c>
      <c r="U8" s="67" t="s">
        <v>5</v>
      </c>
      <c r="V8" s="237" t="s">
        <v>5</v>
      </c>
      <c r="W8" s="4" t="str">
        <f t="shared" si="0"/>
        <v/>
      </c>
    </row>
    <row r="9" spans="1:23" ht="15" customHeight="1">
      <c r="A9" s="235" t="s">
        <v>66</v>
      </c>
      <c r="B9" s="267">
        <v>1</v>
      </c>
      <c r="C9" s="19" t="s">
        <v>7</v>
      </c>
      <c r="D9" s="303" t="s">
        <v>5</v>
      </c>
      <c r="E9" s="127">
        <f>0.07*100</f>
        <v>7.0000000000000009</v>
      </c>
      <c r="F9" s="114">
        <v>0</v>
      </c>
      <c r="G9" s="115">
        <f>17327669/12</f>
        <v>1443972.4166666667</v>
      </c>
      <c r="H9" s="120" t="s">
        <v>5</v>
      </c>
      <c r="I9" s="219" t="s">
        <v>5</v>
      </c>
      <c r="J9" s="180" t="s">
        <v>5</v>
      </c>
      <c r="K9" s="120" t="s">
        <v>5</v>
      </c>
      <c r="L9" s="219" t="s">
        <v>5</v>
      </c>
      <c r="M9" s="180" t="s">
        <v>5</v>
      </c>
      <c r="N9" s="120" t="s">
        <v>5</v>
      </c>
      <c r="O9" s="219" t="s">
        <v>5</v>
      </c>
      <c r="P9" s="180" t="s">
        <v>5</v>
      </c>
      <c r="Q9" s="120" t="s">
        <v>5</v>
      </c>
      <c r="R9" s="219" t="s">
        <v>5</v>
      </c>
      <c r="S9" s="180" t="s">
        <v>5</v>
      </c>
      <c r="T9" s="192">
        <f>+E9/100*G9</f>
        <v>101078.06916666668</v>
      </c>
      <c r="U9" s="19" t="s">
        <v>5</v>
      </c>
      <c r="V9" s="285" t="s">
        <v>5</v>
      </c>
      <c r="W9" s="4" t="str">
        <f t="shared" si="0"/>
        <v/>
      </c>
    </row>
    <row r="10" spans="1:23" ht="15" customHeight="1">
      <c r="A10" s="235" t="s">
        <v>22</v>
      </c>
      <c r="B10" s="267">
        <v>1</v>
      </c>
      <c r="C10" s="28" t="s">
        <v>7</v>
      </c>
      <c r="D10" s="304" t="s">
        <v>5</v>
      </c>
      <c r="E10" s="119">
        <v>4.5</v>
      </c>
      <c r="F10" s="114">
        <v>0</v>
      </c>
      <c r="G10" s="115">
        <f>1781280/12</f>
        <v>148440</v>
      </c>
      <c r="H10" s="120" t="s">
        <v>5</v>
      </c>
      <c r="I10" s="219" t="s">
        <v>5</v>
      </c>
      <c r="J10" s="180" t="s">
        <v>5</v>
      </c>
      <c r="K10" s="120" t="s">
        <v>5</v>
      </c>
      <c r="L10" s="219" t="s">
        <v>5</v>
      </c>
      <c r="M10" s="180" t="s">
        <v>5</v>
      </c>
      <c r="N10" s="120" t="s">
        <v>5</v>
      </c>
      <c r="O10" s="219" t="s">
        <v>5</v>
      </c>
      <c r="P10" s="180" t="s">
        <v>5</v>
      </c>
      <c r="Q10" s="120" t="s">
        <v>5</v>
      </c>
      <c r="R10" s="219" t="s">
        <v>5</v>
      </c>
      <c r="S10" s="180" t="s">
        <v>5</v>
      </c>
      <c r="T10" s="192">
        <f>G10*(E10/100)</f>
        <v>6679.8</v>
      </c>
      <c r="U10" s="28" t="s">
        <v>5</v>
      </c>
      <c r="V10" s="286" t="s">
        <v>5</v>
      </c>
      <c r="W10" s="4" t="str">
        <f t="shared" si="0"/>
        <v/>
      </c>
    </row>
    <row r="11" spans="1:23" ht="15" customHeight="1">
      <c r="A11" s="235" t="s">
        <v>22</v>
      </c>
      <c r="B11" s="267">
        <v>2</v>
      </c>
      <c r="C11" s="28" t="s">
        <v>7</v>
      </c>
      <c r="D11" s="304" t="s">
        <v>5</v>
      </c>
      <c r="E11" s="119">
        <v>6.5</v>
      </c>
      <c r="F11" s="114">
        <v>0</v>
      </c>
      <c r="G11" s="115">
        <f>1781280/12</f>
        <v>148440</v>
      </c>
      <c r="H11" s="120" t="s">
        <v>5</v>
      </c>
      <c r="I11" s="219" t="s">
        <v>5</v>
      </c>
      <c r="J11" s="180" t="s">
        <v>5</v>
      </c>
      <c r="K11" s="120" t="s">
        <v>5</v>
      </c>
      <c r="L11" s="219" t="s">
        <v>5</v>
      </c>
      <c r="M11" s="180" t="s">
        <v>5</v>
      </c>
      <c r="N11" s="120" t="s">
        <v>5</v>
      </c>
      <c r="O11" s="219" t="s">
        <v>5</v>
      </c>
      <c r="P11" s="180" t="s">
        <v>5</v>
      </c>
      <c r="Q11" s="120" t="s">
        <v>5</v>
      </c>
      <c r="R11" s="219" t="s">
        <v>5</v>
      </c>
      <c r="S11" s="180" t="s">
        <v>5</v>
      </c>
      <c r="T11" s="192">
        <f>G11*(E11/100)</f>
        <v>9648.6</v>
      </c>
      <c r="U11" s="28" t="s">
        <v>5</v>
      </c>
      <c r="V11" s="286" t="s">
        <v>5</v>
      </c>
      <c r="W11" s="4" t="str">
        <f t="shared" si="0"/>
        <v/>
      </c>
    </row>
    <row r="12" spans="1:23" ht="15" customHeight="1">
      <c r="A12" s="235" t="s">
        <v>216</v>
      </c>
      <c r="B12" s="267">
        <v>1</v>
      </c>
      <c r="C12" s="19" t="s">
        <v>8</v>
      </c>
      <c r="D12" s="305">
        <v>1080</v>
      </c>
      <c r="E12" s="207" t="s">
        <v>5</v>
      </c>
      <c r="F12" s="219" t="s">
        <v>5</v>
      </c>
      <c r="G12" s="142" t="s">
        <v>5</v>
      </c>
      <c r="H12" s="121" t="s">
        <v>5</v>
      </c>
      <c r="I12" s="218" t="s">
        <v>5</v>
      </c>
      <c r="J12" s="142" t="s">
        <v>5</v>
      </c>
      <c r="K12" s="121" t="s">
        <v>5</v>
      </c>
      <c r="L12" s="218" t="s">
        <v>5</v>
      </c>
      <c r="M12" s="142" t="s">
        <v>5</v>
      </c>
      <c r="N12" s="121" t="s">
        <v>5</v>
      </c>
      <c r="O12" s="218" t="s">
        <v>5</v>
      </c>
      <c r="P12" s="142" t="s">
        <v>5</v>
      </c>
      <c r="Q12" s="121" t="s">
        <v>5</v>
      </c>
      <c r="R12" s="218" t="s">
        <v>5</v>
      </c>
      <c r="S12" s="142" t="s">
        <v>5</v>
      </c>
      <c r="T12" s="188" t="s">
        <v>5</v>
      </c>
      <c r="U12" s="19" t="s">
        <v>6</v>
      </c>
      <c r="V12" s="287">
        <v>100</v>
      </c>
      <c r="W12" s="4" t="str">
        <f t="shared" si="0"/>
        <v>A</v>
      </c>
    </row>
    <row r="13" spans="1:23" ht="15" customHeight="1">
      <c r="A13" s="235" t="s">
        <v>58</v>
      </c>
      <c r="B13" s="267">
        <v>1</v>
      </c>
      <c r="C13" s="19" t="s">
        <v>7</v>
      </c>
      <c r="D13" s="302" t="s">
        <v>5</v>
      </c>
      <c r="E13" s="127">
        <f>0.028*100</f>
        <v>2.8000000000000003</v>
      </c>
      <c r="F13" s="114" t="s">
        <v>5</v>
      </c>
      <c r="G13" s="126" t="s">
        <v>5</v>
      </c>
      <c r="H13" s="121" t="s">
        <v>5</v>
      </c>
      <c r="I13" s="218" t="s">
        <v>5</v>
      </c>
      <c r="J13" s="142" t="s">
        <v>5</v>
      </c>
      <c r="K13" s="121" t="s">
        <v>5</v>
      </c>
      <c r="L13" s="218" t="s">
        <v>5</v>
      </c>
      <c r="M13" s="142" t="s">
        <v>5</v>
      </c>
      <c r="N13" s="121" t="s">
        <v>5</v>
      </c>
      <c r="O13" s="218" t="s">
        <v>5</v>
      </c>
      <c r="P13" s="142" t="s">
        <v>5</v>
      </c>
      <c r="Q13" s="121" t="s">
        <v>5</v>
      </c>
      <c r="R13" s="218" t="s">
        <v>5</v>
      </c>
      <c r="S13" s="142" t="s">
        <v>5</v>
      </c>
      <c r="T13" s="203" t="s">
        <v>5</v>
      </c>
      <c r="U13" s="19" t="s">
        <v>6</v>
      </c>
      <c r="V13" s="285">
        <v>100</v>
      </c>
      <c r="W13" s="4" t="str">
        <f t="shared" si="0"/>
        <v>A</v>
      </c>
    </row>
    <row r="14" spans="1:23" ht="15" customHeight="1">
      <c r="A14" s="235" t="s">
        <v>56</v>
      </c>
      <c r="B14" s="267">
        <v>1</v>
      </c>
      <c r="C14" s="19" t="s">
        <v>10</v>
      </c>
      <c r="D14" s="306" t="s">
        <v>5</v>
      </c>
      <c r="E14" s="127">
        <f>0.0119*100</f>
        <v>1.1900000000000002</v>
      </c>
      <c r="F14" s="114" t="s">
        <v>5</v>
      </c>
      <c r="G14" s="181" t="s">
        <v>5</v>
      </c>
      <c r="H14" s="121" t="s">
        <v>5</v>
      </c>
      <c r="I14" s="218" t="s">
        <v>5</v>
      </c>
      <c r="J14" s="142" t="s">
        <v>5</v>
      </c>
      <c r="K14" s="121" t="s">
        <v>5</v>
      </c>
      <c r="L14" s="218" t="s">
        <v>5</v>
      </c>
      <c r="M14" s="142" t="s">
        <v>5</v>
      </c>
      <c r="N14" s="121" t="s">
        <v>5</v>
      </c>
      <c r="O14" s="218" t="s">
        <v>5</v>
      </c>
      <c r="P14" s="142" t="s">
        <v>5</v>
      </c>
      <c r="Q14" s="121" t="s">
        <v>5</v>
      </c>
      <c r="R14" s="218" t="s">
        <v>5</v>
      </c>
      <c r="S14" s="142" t="s">
        <v>5</v>
      </c>
      <c r="T14" s="192" t="s">
        <v>5</v>
      </c>
      <c r="U14" s="19" t="s">
        <v>5</v>
      </c>
      <c r="V14" s="285" t="s">
        <v>5</v>
      </c>
      <c r="W14" s="4" t="str">
        <f t="shared" si="0"/>
        <v/>
      </c>
    </row>
    <row r="15" spans="1:23" ht="15" customHeight="1">
      <c r="A15" s="235" t="s">
        <v>56</v>
      </c>
      <c r="B15" s="267">
        <v>2</v>
      </c>
      <c r="C15" s="19" t="s">
        <v>8</v>
      </c>
      <c r="D15" s="306" t="s">
        <v>5</v>
      </c>
      <c r="E15" s="127">
        <f>0.0612*100</f>
        <v>6.12</v>
      </c>
      <c r="F15" s="114" t="s">
        <v>5</v>
      </c>
      <c r="G15" s="181" t="s">
        <v>5</v>
      </c>
      <c r="H15" s="121" t="s">
        <v>5</v>
      </c>
      <c r="I15" s="218" t="s">
        <v>5</v>
      </c>
      <c r="J15" s="142" t="s">
        <v>5</v>
      </c>
      <c r="K15" s="121" t="s">
        <v>5</v>
      </c>
      <c r="L15" s="218" t="s">
        <v>5</v>
      </c>
      <c r="M15" s="142" t="s">
        <v>5</v>
      </c>
      <c r="N15" s="121" t="s">
        <v>5</v>
      </c>
      <c r="O15" s="218" t="s">
        <v>5</v>
      </c>
      <c r="P15" s="142" t="s">
        <v>5</v>
      </c>
      <c r="Q15" s="121" t="s">
        <v>5</v>
      </c>
      <c r="R15" s="218" t="s">
        <v>5</v>
      </c>
      <c r="S15" s="142" t="s">
        <v>5</v>
      </c>
      <c r="T15" s="192" t="s">
        <v>5</v>
      </c>
      <c r="U15" s="19" t="s">
        <v>6</v>
      </c>
      <c r="V15" s="285">
        <v>100</v>
      </c>
      <c r="W15" s="4" t="str">
        <f t="shared" si="0"/>
        <v>A</v>
      </c>
    </row>
    <row r="16" spans="1:23" ht="15" customHeight="1">
      <c r="A16" s="235" t="s">
        <v>48</v>
      </c>
      <c r="B16" s="267">
        <v>1</v>
      </c>
      <c r="C16" s="19" t="s">
        <v>8</v>
      </c>
      <c r="D16" s="303" t="s">
        <v>5</v>
      </c>
      <c r="E16" s="127">
        <f>(0.0665+0.0075+0.024+0.038+0.001)*100</f>
        <v>13.700000000000001</v>
      </c>
      <c r="F16" s="114">
        <v>0</v>
      </c>
      <c r="G16" s="115">
        <v>35352</v>
      </c>
      <c r="H16" s="127">
        <f>(0.0075+0.024+0.089+0.001)*100</f>
        <v>12.15</v>
      </c>
      <c r="I16" s="114">
        <f>+G16</f>
        <v>35352</v>
      </c>
      <c r="J16" s="115">
        <f>3*G16</f>
        <v>106056</v>
      </c>
      <c r="K16" s="127">
        <f>(0.0075+0.024+0.001)*100</f>
        <v>3.25</v>
      </c>
      <c r="L16" s="114">
        <f>+J16</f>
        <v>106056</v>
      </c>
      <c r="M16" s="115">
        <f>4*G16</f>
        <v>141408</v>
      </c>
      <c r="N16" s="127">
        <f>(0.0075+0.001)*100</f>
        <v>0.85000000000000009</v>
      </c>
      <c r="O16" s="114">
        <f>+M16</f>
        <v>141408</v>
      </c>
      <c r="P16" s="180" t="s">
        <v>5</v>
      </c>
      <c r="Q16" s="120" t="s">
        <v>5</v>
      </c>
      <c r="R16" s="219" t="s">
        <v>5</v>
      </c>
      <c r="S16" s="180" t="s">
        <v>5</v>
      </c>
      <c r="T16" s="188" t="s">
        <v>5</v>
      </c>
      <c r="U16" s="19" t="s">
        <v>6</v>
      </c>
      <c r="V16" s="285">
        <f>E16*100/E16</f>
        <v>99.999999999999986</v>
      </c>
      <c r="W16" s="4" t="str">
        <f t="shared" si="0"/>
        <v>A</v>
      </c>
    </row>
    <row r="17" spans="1:23" ht="15" customHeight="1">
      <c r="A17" s="272" t="s">
        <v>54</v>
      </c>
      <c r="B17" s="267">
        <v>1</v>
      </c>
      <c r="C17" s="19" t="s">
        <v>8</v>
      </c>
      <c r="D17" s="303" t="s">
        <v>5</v>
      </c>
      <c r="E17" s="127">
        <f>(0.0995+0.082+0.015+0.00975)*100</f>
        <v>20.625</v>
      </c>
      <c r="F17" s="114">
        <v>0</v>
      </c>
      <c r="G17" s="115">
        <v>44550</v>
      </c>
      <c r="H17" s="127">
        <f>(0.0995+0.015)*100</f>
        <v>11.450000000000001</v>
      </c>
      <c r="I17" s="133">
        <f>G17</f>
        <v>44550</v>
      </c>
      <c r="J17" s="115">
        <v>66000</v>
      </c>
      <c r="K17" s="120" t="s">
        <v>5</v>
      </c>
      <c r="L17" s="219" t="s">
        <v>5</v>
      </c>
      <c r="M17" s="180" t="s">
        <v>5</v>
      </c>
      <c r="N17" s="120" t="s">
        <v>5</v>
      </c>
      <c r="O17" s="219" t="s">
        <v>5</v>
      </c>
      <c r="P17" s="180" t="s">
        <v>5</v>
      </c>
      <c r="Q17" s="120" t="s">
        <v>5</v>
      </c>
      <c r="R17" s="219" t="s">
        <v>5</v>
      </c>
      <c r="S17" s="180" t="s">
        <v>5</v>
      </c>
      <c r="T17" s="192">
        <f>(G17-F17)*E17/100 + (J17-I17)*H17/100</f>
        <v>11644.4625</v>
      </c>
      <c r="U17" s="62" t="s">
        <v>6</v>
      </c>
      <c r="V17" s="237" t="s">
        <v>218</v>
      </c>
      <c r="W17" s="4" t="str">
        <f t="shared" si="0"/>
        <v>A</v>
      </c>
    </row>
    <row r="18" spans="1:23" ht="15" customHeight="1">
      <c r="A18" s="235" t="s">
        <v>53</v>
      </c>
      <c r="B18" s="267">
        <v>1</v>
      </c>
      <c r="C18" s="19" t="s">
        <v>7</v>
      </c>
      <c r="D18" s="306" t="s">
        <v>5</v>
      </c>
      <c r="E18" s="127">
        <f>0.162083*100</f>
        <v>16.208300000000001</v>
      </c>
      <c r="F18" s="114">
        <v>0</v>
      </c>
      <c r="G18" s="115">
        <f>77655.2/14</f>
        <v>5546.8</v>
      </c>
      <c r="H18" s="120" t="s">
        <v>5</v>
      </c>
      <c r="I18" s="219" t="s">
        <v>5</v>
      </c>
      <c r="J18" s="180" t="s">
        <v>5</v>
      </c>
      <c r="K18" s="120" t="s">
        <v>5</v>
      </c>
      <c r="L18" s="219" t="s">
        <v>5</v>
      </c>
      <c r="M18" s="180" t="s">
        <v>5</v>
      </c>
      <c r="N18" s="120" t="s">
        <v>5</v>
      </c>
      <c r="O18" s="219" t="s">
        <v>5</v>
      </c>
      <c r="P18" s="180" t="s">
        <v>5</v>
      </c>
      <c r="Q18" s="120" t="s">
        <v>5</v>
      </c>
      <c r="R18" s="219" t="s">
        <v>5</v>
      </c>
      <c r="S18" s="180" t="s">
        <v>5</v>
      </c>
      <c r="T18" s="192">
        <f>G18*E18/100</f>
        <v>899.04198440000005</v>
      </c>
      <c r="U18" s="19" t="s">
        <v>6</v>
      </c>
      <c r="V18" s="285">
        <v>100</v>
      </c>
      <c r="W18" s="4" t="str">
        <f t="shared" si="0"/>
        <v>A</v>
      </c>
    </row>
    <row r="19" spans="1:23" ht="15" customHeight="1">
      <c r="A19" s="235" t="s">
        <v>23</v>
      </c>
      <c r="B19" s="267">
        <v>1</v>
      </c>
      <c r="C19" s="19" t="s">
        <v>8</v>
      </c>
      <c r="D19" s="302" t="s">
        <v>5</v>
      </c>
      <c r="E19" s="127">
        <f>0.1*100</f>
        <v>10</v>
      </c>
      <c r="F19" s="114">
        <v>0</v>
      </c>
      <c r="G19" s="115">
        <v>7665000</v>
      </c>
      <c r="H19" s="120" t="s">
        <v>5</v>
      </c>
      <c r="I19" s="219" t="s">
        <v>5</v>
      </c>
      <c r="J19" s="180" t="s">
        <v>5</v>
      </c>
      <c r="K19" s="120" t="s">
        <v>5</v>
      </c>
      <c r="L19" s="219" t="s">
        <v>5</v>
      </c>
      <c r="M19" s="180" t="s">
        <v>5</v>
      </c>
      <c r="N19" s="120" t="s">
        <v>5</v>
      </c>
      <c r="O19" s="219" t="s">
        <v>5</v>
      </c>
      <c r="P19" s="180" t="s">
        <v>5</v>
      </c>
      <c r="Q19" s="120" t="s">
        <v>5</v>
      </c>
      <c r="R19" s="219" t="s">
        <v>5</v>
      </c>
      <c r="S19" s="180" t="s">
        <v>5</v>
      </c>
      <c r="T19" s="203">
        <f>+G19*E19/100</f>
        <v>766500</v>
      </c>
      <c r="U19" s="23" t="s">
        <v>5</v>
      </c>
      <c r="V19" s="287" t="s">
        <v>5</v>
      </c>
      <c r="W19" s="4" t="str">
        <f t="shared" si="0"/>
        <v/>
      </c>
    </row>
    <row r="20" spans="1:23" ht="15" customHeight="1">
      <c r="A20" s="235" t="s">
        <v>23</v>
      </c>
      <c r="B20" s="267">
        <v>2</v>
      </c>
      <c r="C20" s="19" t="s">
        <v>8</v>
      </c>
      <c r="D20" s="302" t="s">
        <v>5</v>
      </c>
      <c r="E20" s="127">
        <f>(0.06+0.015)*100</f>
        <v>7.5</v>
      </c>
      <c r="F20" s="114" t="s">
        <v>5</v>
      </c>
      <c r="G20" s="115" t="s">
        <v>5</v>
      </c>
      <c r="H20" s="120" t="s">
        <v>5</v>
      </c>
      <c r="I20" s="219" t="s">
        <v>5</v>
      </c>
      <c r="J20" s="180" t="s">
        <v>5</v>
      </c>
      <c r="K20" s="120" t="s">
        <v>5</v>
      </c>
      <c r="L20" s="219" t="s">
        <v>5</v>
      </c>
      <c r="M20" s="180" t="s">
        <v>5</v>
      </c>
      <c r="N20" s="120" t="s">
        <v>5</v>
      </c>
      <c r="O20" s="219" t="s">
        <v>5</v>
      </c>
      <c r="P20" s="180" t="s">
        <v>5</v>
      </c>
      <c r="Q20" s="120" t="s">
        <v>5</v>
      </c>
      <c r="R20" s="219" t="s">
        <v>5</v>
      </c>
      <c r="S20" s="180" t="s">
        <v>5</v>
      </c>
      <c r="T20" s="203" t="s">
        <v>5</v>
      </c>
      <c r="U20" s="23" t="s">
        <v>5</v>
      </c>
      <c r="V20" s="287" t="s">
        <v>5</v>
      </c>
      <c r="W20" s="4" t="str">
        <f t="shared" si="0"/>
        <v/>
      </c>
    </row>
    <row r="21" spans="1:23" ht="15" customHeight="1">
      <c r="A21" s="235" t="s">
        <v>68</v>
      </c>
      <c r="B21" s="267">
        <v>1</v>
      </c>
      <c r="C21" s="28" t="s">
        <v>6</v>
      </c>
      <c r="D21" s="305">
        <v>27982</v>
      </c>
      <c r="E21" s="127" t="s">
        <v>24</v>
      </c>
      <c r="F21" s="114">
        <v>1421780</v>
      </c>
      <c r="G21" s="115" t="s">
        <v>24</v>
      </c>
      <c r="H21" s="120" t="s">
        <v>5</v>
      </c>
      <c r="I21" s="219" t="s">
        <v>5</v>
      </c>
      <c r="J21" s="180" t="s">
        <v>5</v>
      </c>
      <c r="K21" s="120" t="s">
        <v>5</v>
      </c>
      <c r="L21" s="219" t="s">
        <v>5</v>
      </c>
      <c r="M21" s="180" t="s">
        <v>5</v>
      </c>
      <c r="N21" s="120" t="s">
        <v>5</v>
      </c>
      <c r="O21" s="219" t="s">
        <v>5</v>
      </c>
      <c r="P21" s="180" t="s">
        <v>5</v>
      </c>
      <c r="Q21" s="120" t="s">
        <v>5</v>
      </c>
      <c r="R21" s="219" t="s">
        <v>5</v>
      </c>
      <c r="S21" s="180" t="s">
        <v>5</v>
      </c>
      <c r="T21" s="278" t="s">
        <v>24</v>
      </c>
      <c r="U21" s="54" t="s">
        <v>5</v>
      </c>
      <c r="V21" s="287" t="s">
        <v>5</v>
      </c>
      <c r="W21" s="4" t="str">
        <f t="shared" si="0"/>
        <v/>
      </c>
    </row>
    <row r="22" spans="1:23" ht="15" customHeight="1">
      <c r="A22" s="235" t="s">
        <v>68</v>
      </c>
      <c r="B22" s="267">
        <v>2</v>
      </c>
      <c r="C22" s="28" t="s">
        <v>8</v>
      </c>
      <c r="D22" s="307" t="s">
        <v>5</v>
      </c>
      <c r="E22" s="127">
        <v>8</v>
      </c>
      <c r="F22" s="114" t="s">
        <v>5</v>
      </c>
      <c r="G22" s="115" t="s">
        <v>5</v>
      </c>
      <c r="H22" s="120" t="s">
        <v>5</v>
      </c>
      <c r="I22" s="219" t="s">
        <v>5</v>
      </c>
      <c r="J22" s="180" t="s">
        <v>5</v>
      </c>
      <c r="K22" s="120" t="s">
        <v>5</v>
      </c>
      <c r="L22" s="219" t="s">
        <v>5</v>
      </c>
      <c r="M22" s="180" t="s">
        <v>5</v>
      </c>
      <c r="N22" s="120" t="s">
        <v>5</v>
      </c>
      <c r="O22" s="219" t="s">
        <v>5</v>
      </c>
      <c r="P22" s="180" t="s">
        <v>5</v>
      </c>
      <c r="Q22" s="120" t="s">
        <v>5</v>
      </c>
      <c r="R22" s="219" t="s">
        <v>5</v>
      </c>
      <c r="S22" s="180" t="s">
        <v>5</v>
      </c>
      <c r="T22" s="203" t="s">
        <v>5</v>
      </c>
      <c r="U22" s="19" t="s">
        <v>6</v>
      </c>
      <c r="V22" s="285">
        <v>100</v>
      </c>
      <c r="W22" s="4" t="str">
        <f t="shared" si="0"/>
        <v>A</v>
      </c>
    </row>
    <row r="23" spans="1:23" ht="15" customHeight="1">
      <c r="A23" s="235" t="s">
        <v>92</v>
      </c>
      <c r="B23" s="267">
        <v>1</v>
      </c>
      <c r="C23" s="19" t="s">
        <v>8</v>
      </c>
      <c r="D23" s="308" t="s">
        <v>5</v>
      </c>
      <c r="E23" s="127">
        <f>0.04*100</f>
        <v>4</v>
      </c>
      <c r="F23" s="315" t="s">
        <v>77</v>
      </c>
      <c r="G23" s="142" t="s">
        <v>5</v>
      </c>
      <c r="H23" s="121" t="s">
        <v>5</v>
      </c>
      <c r="I23" s="218" t="s">
        <v>5</v>
      </c>
      <c r="J23" s="142" t="s">
        <v>5</v>
      </c>
      <c r="K23" s="121" t="s">
        <v>5</v>
      </c>
      <c r="L23" s="218" t="s">
        <v>5</v>
      </c>
      <c r="M23" s="142" t="s">
        <v>5</v>
      </c>
      <c r="N23" s="121" t="s">
        <v>5</v>
      </c>
      <c r="O23" s="218" t="s">
        <v>5</v>
      </c>
      <c r="P23" s="142" t="s">
        <v>5</v>
      </c>
      <c r="Q23" s="121" t="s">
        <v>5</v>
      </c>
      <c r="R23" s="218" t="s">
        <v>5</v>
      </c>
      <c r="S23" s="142" t="s">
        <v>5</v>
      </c>
      <c r="T23" s="188" t="s">
        <v>5</v>
      </c>
      <c r="U23" s="35" t="s">
        <v>5</v>
      </c>
      <c r="V23" s="240" t="s">
        <v>5</v>
      </c>
      <c r="W23" s="4" t="str">
        <f t="shared" si="0"/>
        <v/>
      </c>
    </row>
    <row r="24" spans="1:23" ht="15" customHeight="1">
      <c r="A24" s="235" t="s">
        <v>69</v>
      </c>
      <c r="B24" s="267">
        <v>1</v>
      </c>
      <c r="C24" s="19" t="s">
        <v>7</v>
      </c>
      <c r="D24" s="303" t="s">
        <v>5</v>
      </c>
      <c r="E24" s="127">
        <f>0.035*100</f>
        <v>3.5000000000000004</v>
      </c>
      <c r="F24" s="114">
        <v>0</v>
      </c>
      <c r="G24" s="181">
        <f>59808/12</f>
        <v>4984</v>
      </c>
      <c r="H24" s="127">
        <f>0.12*100</f>
        <v>12</v>
      </c>
      <c r="I24" s="124">
        <f>G24</f>
        <v>4984</v>
      </c>
      <c r="J24" s="181">
        <f>881064/12</f>
        <v>73422</v>
      </c>
      <c r="K24" s="121" t="s">
        <v>5</v>
      </c>
      <c r="L24" s="218" t="s">
        <v>5</v>
      </c>
      <c r="M24" s="142" t="s">
        <v>5</v>
      </c>
      <c r="N24" s="121" t="s">
        <v>5</v>
      </c>
      <c r="O24" s="218" t="s">
        <v>5</v>
      </c>
      <c r="P24" s="142" t="s">
        <v>5</v>
      </c>
      <c r="Q24" s="121" t="s">
        <v>5</v>
      </c>
      <c r="R24" s="218" t="s">
        <v>5</v>
      </c>
      <c r="S24" s="142" t="s">
        <v>5</v>
      </c>
      <c r="T24" s="192">
        <f>+E24/100*G24+H24/100*(J24-I24)</f>
        <v>8387</v>
      </c>
      <c r="U24" s="67" t="s">
        <v>5</v>
      </c>
      <c r="V24" s="237" t="s">
        <v>5</v>
      </c>
      <c r="W24" s="4" t="str">
        <f t="shared" si="0"/>
        <v/>
      </c>
    </row>
    <row r="25" spans="1:23" ht="15" customHeight="1">
      <c r="A25" s="235" t="s">
        <v>13</v>
      </c>
      <c r="B25" s="267">
        <v>1</v>
      </c>
      <c r="C25" s="19" t="s">
        <v>8</v>
      </c>
      <c r="D25" s="303" t="s">
        <v>5</v>
      </c>
      <c r="E25" s="127">
        <f>0.0949*100</f>
        <v>9.49</v>
      </c>
      <c r="F25" s="114">
        <v>0</v>
      </c>
      <c r="G25" s="181">
        <v>43042</v>
      </c>
      <c r="H25" s="127">
        <f>0.1049*100</f>
        <v>10.489999999999998</v>
      </c>
      <c r="I25" s="124">
        <f>G25</f>
        <v>43042</v>
      </c>
      <c r="J25" s="181">
        <v>93622</v>
      </c>
      <c r="K25" s="121" t="s">
        <v>5</v>
      </c>
      <c r="L25" s="218" t="s">
        <v>5</v>
      </c>
      <c r="M25" s="142" t="s">
        <v>5</v>
      </c>
      <c r="N25" s="121" t="s">
        <v>5</v>
      </c>
      <c r="O25" s="218" t="s">
        <v>5</v>
      </c>
      <c r="P25" s="142" t="s">
        <v>5</v>
      </c>
      <c r="Q25" s="121" t="s">
        <v>5</v>
      </c>
      <c r="R25" s="218" t="s">
        <v>5</v>
      </c>
      <c r="S25" s="142" t="s">
        <v>5</v>
      </c>
      <c r="T25" s="192">
        <f>((E25/100)*G25)+(H25/100)*(J25-I25)</f>
        <v>9390.527799999998</v>
      </c>
      <c r="U25" s="279" t="s">
        <v>6</v>
      </c>
      <c r="V25" s="287">
        <v>100</v>
      </c>
      <c r="W25" s="4" t="str">
        <f t="shared" si="0"/>
        <v>A</v>
      </c>
    </row>
    <row r="26" spans="1:23" s="2" customFormat="1" ht="15" customHeight="1">
      <c r="A26" s="235" t="s">
        <v>14</v>
      </c>
      <c r="B26" s="267">
        <v>1</v>
      </c>
      <c r="C26" s="19" t="s">
        <v>7</v>
      </c>
      <c r="D26" s="306" t="s">
        <v>5</v>
      </c>
      <c r="E26" s="127">
        <f>0.08088*100+H26</f>
        <v>13.417999999999999</v>
      </c>
      <c r="F26" s="114">
        <v>0</v>
      </c>
      <c r="G26" s="181">
        <f>7440000/12</f>
        <v>620000</v>
      </c>
      <c r="H26" s="127">
        <f>0.0473*100+K26</f>
        <v>5.33</v>
      </c>
      <c r="I26" s="124">
        <f>G26</f>
        <v>620000</v>
      </c>
      <c r="J26" s="181">
        <f>14520000/12</f>
        <v>1210000</v>
      </c>
      <c r="K26" s="127">
        <f>0.006*100</f>
        <v>0.6</v>
      </c>
      <c r="L26" s="124">
        <f>J26</f>
        <v>1210000</v>
      </c>
      <c r="M26" s="180" t="s">
        <v>5</v>
      </c>
      <c r="N26" s="121" t="s">
        <v>5</v>
      </c>
      <c r="O26" s="218" t="s">
        <v>5</v>
      </c>
      <c r="P26" s="142" t="s">
        <v>5</v>
      </c>
      <c r="Q26" s="121" t="s">
        <v>5</v>
      </c>
      <c r="R26" s="218" t="s">
        <v>5</v>
      </c>
      <c r="S26" s="142" t="s">
        <v>5</v>
      </c>
      <c r="T26" s="192" t="s">
        <v>5</v>
      </c>
      <c r="U26" s="19" t="s">
        <v>6</v>
      </c>
      <c r="V26" s="285">
        <v>100</v>
      </c>
      <c r="W26" s="4" t="str">
        <f t="shared" si="0"/>
        <v>A</v>
      </c>
    </row>
    <row r="27" spans="1:23" s="2" customFormat="1" ht="15" customHeight="1">
      <c r="A27" s="235" t="s">
        <v>15</v>
      </c>
      <c r="B27" s="267">
        <v>1</v>
      </c>
      <c r="C27" s="28" t="s">
        <v>7</v>
      </c>
      <c r="D27" s="303" t="s">
        <v>5</v>
      </c>
      <c r="E27" s="127">
        <f>(0.045*100)+H27</f>
        <v>8.05471</v>
      </c>
      <c r="F27" s="114">
        <v>0</v>
      </c>
      <c r="G27" s="181">
        <f>(2025000/0.045)/12</f>
        <v>3750000</v>
      </c>
      <c r="H27" s="127">
        <f>(0.0300471*100)+K27</f>
        <v>3.55471</v>
      </c>
      <c r="I27" s="114">
        <f>G27</f>
        <v>3750000</v>
      </c>
      <c r="J27" s="181">
        <f>(25540863/0.0300471)/12</f>
        <v>70835629.727993712</v>
      </c>
      <c r="K27" s="3">
        <f>0.0055*100</f>
        <v>0.54999999999999993</v>
      </c>
      <c r="L27" s="114">
        <f>J27</f>
        <v>70835629.727993712</v>
      </c>
      <c r="M27" s="142" t="s">
        <v>5</v>
      </c>
      <c r="N27" s="121" t="s">
        <v>5</v>
      </c>
      <c r="O27" s="218" t="s">
        <v>5</v>
      </c>
      <c r="P27" s="142" t="s">
        <v>5</v>
      </c>
      <c r="Q27" s="121" t="s">
        <v>5</v>
      </c>
      <c r="R27" s="218" t="s">
        <v>5</v>
      </c>
      <c r="S27" s="142" t="s">
        <v>5</v>
      </c>
      <c r="T27" s="199" t="s">
        <v>5</v>
      </c>
      <c r="U27" s="62" t="s">
        <v>6</v>
      </c>
      <c r="V27" s="285">
        <v>100</v>
      </c>
      <c r="W27" s="4" t="str">
        <f t="shared" si="0"/>
        <v>A</v>
      </c>
    </row>
    <row r="28" spans="1:23" s="40" customFormat="1">
      <c r="A28" s="513" t="s">
        <v>282</v>
      </c>
      <c r="B28" s="500">
        <v>1</v>
      </c>
      <c r="C28" s="30" t="s">
        <v>8</v>
      </c>
      <c r="D28" s="502" t="s">
        <v>5</v>
      </c>
      <c r="E28" s="503">
        <v>11</v>
      </c>
      <c r="F28" s="400" t="s">
        <v>5</v>
      </c>
      <c r="G28" s="396" t="s">
        <v>5</v>
      </c>
      <c r="H28" s="501"/>
      <c r="I28" s="504"/>
      <c r="J28" s="505"/>
      <c r="K28" s="501"/>
      <c r="L28" s="504"/>
      <c r="M28" s="505"/>
      <c r="N28" s="506"/>
      <c r="O28" s="504"/>
      <c r="P28" s="505"/>
      <c r="Q28" s="506"/>
      <c r="R28" s="504"/>
      <c r="S28" s="505"/>
      <c r="T28" s="507"/>
      <c r="U28" s="62" t="s">
        <v>6</v>
      </c>
      <c r="V28" s="375">
        <v>100</v>
      </c>
      <c r="W28" s="30" t="str">
        <f t="shared" si="0"/>
        <v>A</v>
      </c>
    </row>
    <row r="29" spans="1:23" ht="15" customHeight="1">
      <c r="A29" s="235" t="s">
        <v>89</v>
      </c>
      <c r="B29" s="267">
        <v>1</v>
      </c>
      <c r="C29" s="19" t="s">
        <v>8</v>
      </c>
      <c r="D29" s="303" t="s">
        <v>5</v>
      </c>
      <c r="E29" s="127">
        <f>0.1105*100</f>
        <v>11.05</v>
      </c>
      <c r="F29" s="114">
        <v>0</v>
      </c>
      <c r="G29" s="115">
        <v>105453.6</v>
      </c>
      <c r="H29" s="120" t="s">
        <v>5</v>
      </c>
      <c r="I29" s="219" t="s">
        <v>5</v>
      </c>
      <c r="J29" s="180" t="s">
        <v>5</v>
      </c>
      <c r="K29" s="120" t="s">
        <v>5</v>
      </c>
      <c r="L29" s="219" t="s">
        <v>5</v>
      </c>
      <c r="M29" s="180" t="s">
        <v>5</v>
      </c>
      <c r="N29" s="120" t="s">
        <v>5</v>
      </c>
      <c r="O29" s="219" t="s">
        <v>5</v>
      </c>
      <c r="P29" s="180" t="s">
        <v>5</v>
      </c>
      <c r="Q29" s="120" t="s">
        <v>5</v>
      </c>
      <c r="R29" s="219" t="s">
        <v>5</v>
      </c>
      <c r="S29" s="180" t="s">
        <v>5</v>
      </c>
      <c r="T29" s="196">
        <f>+G29*E29/100</f>
        <v>11652.622800000001</v>
      </c>
      <c r="U29" s="28" t="s">
        <v>6</v>
      </c>
      <c r="V29" s="286">
        <v>100</v>
      </c>
      <c r="W29" s="4" t="str">
        <f t="shared" si="0"/>
        <v>A</v>
      </c>
    </row>
    <row r="30" spans="1:23" ht="15" customHeight="1">
      <c r="A30" s="235" t="s">
        <v>89</v>
      </c>
      <c r="B30" s="267">
        <v>2</v>
      </c>
      <c r="C30" s="19" t="s">
        <v>8</v>
      </c>
      <c r="D30" s="304" t="s">
        <v>5</v>
      </c>
      <c r="E30" s="127">
        <f>0.014*100</f>
        <v>1.4000000000000001</v>
      </c>
      <c r="F30" s="114">
        <f>0.25*21090.72</f>
        <v>5272.68</v>
      </c>
      <c r="G30" s="115" t="s">
        <v>29</v>
      </c>
      <c r="H30" s="120" t="s">
        <v>5</v>
      </c>
      <c r="I30" s="219" t="s">
        <v>5</v>
      </c>
      <c r="J30" s="180" t="s">
        <v>5</v>
      </c>
      <c r="K30" s="120" t="s">
        <v>5</v>
      </c>
      <c r="L30" s="219" t="s">
        <v>5</v>
      </c>
      <c r="M30" s="180" t="s">
        <v>5</v>
      </c>
      <c r="N30" s="120" t="s">
        <v>5</v>
      </c>
      <c r="O30" s="219" t="s">
        <v>5</v>
      </c>
      <c r="P30" s="180" t="s">
        <v>5</v>
      </c>
      <c r="Q30" s="120" t="s">
        <v>5</v>
      </c>
      <c r="R30" s="219" t="s">
        <v>5</v>
      </c>
      <c r="S30" s="180" t="s">
        <v>5</v>
      </c>
      <c r="T30" s="196" t="s">
        <v>5</v>
      </c>
      <c r="U30" s="7" t="s">
        <v>5</v>
      </c>
      <c r="V30" s="288" t="s">
        <v>5</v>
      </c>
      <c r="W30" s="4" t="str">
        <f t="shared" si="0"/>
        <v/>
      </c>
    </row>
    <row r="31" spans="1:23" ht="15" customHeight="1">
      <c r="A31" s="235" t="s">
        <v>89</v>
      </c>
      <c r="B31" s="267">
        <v>3</v>
      </c>
      <c r="C31" s="19" t="s">
        <v>8</v>
      </c>
      <c r="D31" s="302" t="s">
        <v>5</v>
      </c>
      <c r="E31" s="127">
        <f>0.008*100</f>
        <v>0.8</v>
      </c>
      <c r="F31" s="316" t="s">
        <v>5</v>
      </c>
      <c r="G31" s="317" t="s">
        <v>5</v>
      </c>
      <c r="H31" s="120" t="s">
        <v>5</v>
      </c>
      <c r="I31" s="219" t="s">
        <v>5</v>
      </c>
      <c r="J31" s="180" t="s">
        <v>5</v>
      </c>
      <c r="K31" s="120" t="s">
        <v>5</v>
      </c>
      <c r="L31" s="219" t="s">
        <v>5</v>
      </c>
      <c r="M31" s="180" t="s">
        <v>5</v>
      </c>
      <c r="N31" s="120" t="s">
        <v>5</v>
      </c>
      <c r="O31" s="219" t="s">
        <v>5</v>
      </c>
      <c r="P31" s="180" t="s">
        <v>5</v>
      </c>
      <c r="Q31" s="120" t="s">
        <v>5</v>
      </c>
      <c r="R31" s="219" t="s">
        <v>5</v>
      </c>
      <c r="S31" s="180" t="s">
        <v>5</v>
      </c>
      <c r="T31" s="202" t="s">
        <v>5</v>
      </c>
      <c r="U31" s="15" t="s">
        <v>5</v>
      </c>
      <c r="V31" s="289" t="s">
        <v>5</v>
      </c>
      <c r="W31" s="4" t="str">
        <f t="shared" si="0"/>
        <v/>
      </c>
    </row>
    <row r="32" spans="1:23" s="2" customFormat="1" ht="15" customHeight="1">
      <c r="A32" s="235" t="s">
        <v>71</v>
      </c>
      <c r="B32" s="267">
        <v>1</v>
      </c>
      <c r="C32" s="19" t="s">
        <v>7</v>
      </c>
      <c r="D32" s="306" t="s">
        <v>5</v>
      </c>
      <c r="E32" s="127">
        <f>0.625+0.625</f>
        <v>1.25</v>
      </c>
      <c r="F32" s="114">
        <v>0</v>
      </c>
      <c r="G32" s="318">
        <f>3*59.82*(365/12)</f>
        <v>5458.5750000000007</v>
      </c>
      <c r="H32" s="127">
        <f>E32+0.4</f>
        <v>1.65</v>
      </c>
      <c r="I32" s="315">
        <f>G32</f>
        <v>5458.5750000000007</v>
      </c>
      <c r="J32" s="318">
        <f>25*59.82*(365/12)</f>
        <v>45488.125</v>
      </c>
      <c r="K32" s="174" t="s">
        <v>5</v>
      </c>
      <c r="L32" s="475" t="s">
        <v>5</v>
      </c>
      <c r="M32" s="226" t="s">
        <v>5</v>
      </c>
      <c r="N32" s="174" t="s">
        <v>5</v>
      </c>
      <c r="O32" s="475" t="s">
        <v>5</v>
      </c>
      <c r="P32" s="226" t="s">
        <v>5</v>
      </c>
      <c r="Q32" s="174" t="s">
        <v>5</v>
      </c>
      <c r="R32" s="475" t="s">
        <v>5</v>
      </c>
      <c r="S32" s="226" t="s">
        <v>5</v>
      </c>
      <c r="T32" s="196">
        <f>((E32/100)*G32)+(H32/100)*(J32-I32)</f>
        <v>728.71976250000012</v>
      </c>
      <c r="U32" s="280" t="s">
        <v>5</v>
      </c>
      <c r="V32" s="287" t="s">
        <v>5</v>
      </c>
      <c r="W32" s="4" t="str">
        <f t="shared" si="0"/>
        <v/>
      </c>
    </row>
    <row r="33" spans="1:23" ht="15" customHeight="1">
      <c r="A33" s="235" t="s">
        <v>60</v>
      </c>
      <c r="B33" s="267">
        <v>1</v>
      </c>
      <c r="C33" s="28" t="s">
        <v>6</v>
      </c>
      <c r="D33" s="309" t="s">
        <v>5</v>
      </c>
      <c r="E33" s="119">
        <f>(0.179+0.011+0.1215)*100</f>
        <v>31.15</v>
      </c>
      <c r="F33" s="114">
        <v>0</v>
      </c>
      <c r="G33" s="115">
        <v>33436</v>
      </c>
      <c r="H33" s="120" t="s">
        <v>5</v>
      </c>
      <c r="I33" s="219" t="s">
        <v>5</v>
      </c>
      <c r="J33" s="180" t="s">
        <v>5</v>
      </c>
      <c r="K33" s="120" t="s">
        <v>5</v>
      </c>
      <c r="L33" s="219" t="s">
        <v>5</v>
      </c>
      <c r="M33" s="180" t="s">
        <v>5</v>
      </c>
      <c r="N33" s="120" t="s">
        <v>5</v>
      </c>
      <c r="O33" s="219" t="s">
        <v>5</v>
      </c>
      <c r="P33" s="180" t="s">
        <v>5</v>
      </c>
      <c r="Q33" s="120" t="s">
        <v>5</v>
      </c>
      <c r="R33" s="219" t="s">
        <v>5</v>
      </c>
      <c r="S33" s="180" t="s">
        <v>5</v>
      </c>
      <c r="T33" s="196">
        <f>(G33-F33)*E33/100</f>
        <v>10415.313999999998</v>
      </c>
      <c r="U33" s="28" t="s">
        <v>6</v>
      </c>
      <c r="V33" s="286">
        <v>100</v>
      </c>
      <c r="W33" s="4" t="str">
        <f t="shared" si="0"/>
        <v>A</v>
      </c>
    </row>
    <row r="34" spans="1:23" ht="15" customHeight="1">
      <c r="A34" s="244" t="s">
        <v>42</v>
      </c>
      <c r="B34" s="299">
        <v>0</v>
      </c>
      <c r="C34" s="111" t="s">
        <v>250</v>
      </c>
      <c r="D34" s="310" t="s">
        <v>5</v>
      </c>
      <c r="E34" s="141" t="s">
        <v>5</v>
      </c>
      <c r="F34" s="222" t="s">
        <v>5</v>
      </c>
      <c r="G34" s="223" t="s">
        <v>5</v>
      </c>
      <c r="H34" s="120" t="s">
        <v>5</v>
      </c>
      <c r="I34" s="219" t="s">
        <v>5</v>
      </c>
      <c r="J34" s="180" t="s">
        <v>5</v>
      </c>
      <c r="K34" s="120" t="s">
        <v>5</v>
      </c>
      <c r="L34" s="219" t="s">
        <v>5</v>
      </c>
      <c r="M34" s="180" t="s">
        <v>5</v>
      </c>
      <c r="N34" s="120" t="s">
        <v>5</v>
      </c>
      <c r="O34" s="219" t="s">
        <v>5</v>
      </c>
      <c r="P34" s="180" t="s">
        <v>5</v>
      </c>
      <c r="Q34" s="120" t="s">
        <v>5</v>
      </c>
      <c r="R34" s="219" t="s">
        <v>5</v>
      </c>
      <c r="S34" s="180" t="s">
        <v>5</v>
      </c>
      <c r="T34" s="201" t="s">
        <v>5</v>
      </c>
      <c r="U34" s="111" t="s">
        <v>5</v>
      </c>
      <c r="V34" s="245" t="s">
        <v>5</v>
      </c>
      <c r="W34" s="4" t="str">
        <f t="shared" si="0"/>
        <v/>
      </c>
    </row>
    <row r="35" spans="1:23" ht="15" customHeight="1">
      <c r="A35" s="235" t="s">
        <v>64</v>
      </c>
      <c r="B35" s="267">
        <v>1</v>
      </c>
      <c r="C35" s="19" t="s">
        <v>8</v>
      </c>
      <c r="D35" s="302" t="s">
        <v>5</v>
      </c>
      <c r="E35" s="127">
        <f>0.078*100</f>
        <v>7.8</v>
      </c>
      <c r="F35" s="114" t="s">
        <v>65</v>
      </c>
      <c r="G35" s="115" t="s">
        <v>5</v>
      </c>
      <c r="H35" s="120" t="s">
        <v>5</v>
      </c>
      <c r="I35" s="219" t="s">
        <v>5</v>
      </c>
      <c r="J35" s="180" t="s">
        <v>5</v>
      </c>
      <c r="K35" s="120" t="s">
        <v>5</v>
      </c>
      <c r="L35" s="219" t="s">
        <v>5</v>
      </c>
      <c r="M35" s="180" t="s">
        <v>5</v>
      </c>
      <c r="N35" s="120" t="s">
        <v>5</v>
      </c>
      <c r="O35" s="219" t="s">
        <v>5</v>
      </c>
      <c r="P35" s="180" t="s">
        <v>5</v>
      </c>
      <c r="Q35" s="120" t="s">
        <v>5</v>
      </c>
      <c r="R35" s="219" t="s">
        <v>5</v>
      </c>
      <c r="S35" s="180" t="s">
        <v>5</v>
      </c>
      <c r="T35" s="202" t="s">
        <v>5</v>
      </c>
      <c r="U35" s="54" t="s">
        <v>5</v>
      </c>
      <c r="V35" s="287" t="s">
        <v>5</v>
      </c>
      <c r="W35" s="4" t="str">
        <f t="shared" si="0"/>
        <v/>
      </c>
    </row>
    <row r="36" spans="1:23" ht="15" customHeight="1">
      <c r="A36" s="235" t="s">
        <v>72</v>
      </c>
      <c r="B36" s="267">
        <v>1</v>
      </c>
      <c r="C36" s="19" t="s">
        <v>8</v>
      </c>
      <c r="D36" s="303" t="s">
        <v>5</v>
      </c>
      <c r="E36" s="127">
        <f>(0.0611+0.015)*100</f>
        <v>7.61</v>
      </c>
      <c r="F36" s="114">
        <v>0</v>
      </c>
      <c r="G36" s="318">
        <v>100770</v>
      </c>
      <c r="H36" s="127">
        <f>0.0245*100</f>
        <v>2.4500000000000002</v>
      </c>
      <c r="I36" s="315">
        <f>G36</f>
        <v>100770</v>
      </c>
      <c r="J36" s="226" t="s">
        <v>5</v>
      </c>
      <c r="K36" s="174" t="s">
        <v>5</v>
      </c>
      <c r="L36" s="475" t="s">
        <v>5</v>
      </c>
      <c r="M36" s="226" t="s">
        <v>5</v>
      </c>
      <c r="N36" s="174" t="s">
        <v>5</v>
      </c>
      <c r="O36" s="475" t="s">
        <v>5</v>
      </c>
      <c r="P36" s="226" t="s">
        <v>5</v>
      </c>
      <c r="Q36" s="174" t="s">
        <v>5</v>
      </c>
      <c r="R36" s="475" t="s">
        <v>5</v>
      </c>
      <c r="S36" s="226" t="s">
        <v>5</v>
      </c>
      <c r="T36" s="199" t="s">
        <v>5</v>
      </c>
      <c r="U36" s="19" t="s">
        <v>6</v>
      </c>
      <c r="V36" s="285">
        <v>100</v>
      </c>
      <c r="W36" s="4" t="str">
        <f t="shared" si="0"/>
        <v>A</v>
      </c>
    </row>
    <row r="37" spans="1:23" ht="15" customHeight="1">
      <c r="A37" s="235" t="s">
        <v>72</v>
      </c>
      <c r="B37" s="267">
        <v>2</v>
      </c>
      <c r="C37" s="19" t="s">
        <v>8</v>
      </c>
      <c r="D37" s="303" t="s">
        <v>5</v>
      </c>
      <c r="E37" s="127">
        <f>0.09*100</f>
        <v>9</v>
      </c>
      <c r="F37" s="319" t="s">
        <v>5</v>
      </c>
      <c r="G37" s="320" t="s">
        <v>5</v>
      </c>
      <c r="H37" s="163" t="s">
        <v>5</v>
      </c>
      <c r="I37" s="395" t="s">
        <v>5</v>
      </c>
      <c r="J37" s="472" t="s">
        <v>5</v>
      </c>
      <c r="K37" s="163" t="s">
        <v>5</v>
      </c>
      <c r="L37" s="395" t="s">
        <v>5</v>
      </c>
      <c r="M37" s="472" t="s">
        <v>5</v>
      </c>
      <c r="N37" s="163" t="s">
        <v>5</v>
      </c>
      <c r="O37" s="395" t="s">
        <v>5</v>
      </c>
      <c r="P37" s="472" t="s">
        <v>5</v>
      </c>
      <c r="Q37" s="163" t="s">
        <v>5</v>
      </c>
      <c r="R37" s="395" t="s">
        <v>5</v>
      </c>
      <c r="S37" s="472" t="s">
        <v>5</v>
      </c>
      <c r="T37" s="199" t="s">
        <v>5</v>
      </c>
      <c r="U37" s="19" t="s">
        <v>6</v>
      </c>
      <c r="V37" s="285">
        <v>100</v>
      </c>
      <c r="W37" s="4" t="str">
        <f t="shared" si="0"/>
        <v>A</v>
      </c>
    </row>
    <row r="38" spans="1:23" ht="15" customHeight="1">
      <c r="A38" s="235" t="s">
        <v>17</v>
      </c>
      <c r="B38" s="267">
        <v>1</v>
      </c>
      <c r="C38" s="19" t="s">
        <v>7</v>
      </c>
      <c r="D38" s="302" t="s">
        <v>5</v>
      </c>
      <c r="E38" s="127">
        <f>0.11*100</f>
        <v>11</v>
      </c>
      <c r="F38" s="319" t="s">
        <v>5</v>
      </c>
      <c r="G38" s="320" t="s">
        <v>5</v>
      </c>
      <c r="H38" s="163" t="s">
        <v>5</v>
      </c>
      <c r="I38" s="395" t="s">
        <v>5</v>
      </c>
      <c r="J38" s="472" t="s">
        <v>5</v>
      </c>
      <c r="K38" s="163" t="s">
        <v>5</v>
      </c>
      <c r="L38" s="395" t="s">
        <v>5</v>
      </c>
      <c r="M38" s="472" t="s">
        <v>5</v>
      </c>
      <c r="N38" s="163" t="s">
        <v>5</v>
      </c>
      <c r="O38" s="395" t="s">
        <v>5</v>
      </c>
      <c r="P38" s="472" t="s">
        <v>5</v>
      </c>
      <c r="Q38" s="163" t="s">
        <v>5</v>
      </c>
      <c r="R38" s="395" t="s">
        <v>5</v>
      </c>
      <c r="S38" s="472" t="s">
        <v>5</v>
      </c>
      <c r="T38" s="202" t="s">
        <v>5</v>
      </c>
      <c r="U38" s="19" t="s">
        <v>6</v>
      </c>
      <c r="V38" s="285">
        <v>100</v>
      </c>
      <c r="W38" s="4" t="str">
        <f t="shared" si="0"/>
        <v>A</v>
      </c>
    </row>
    <row r="39" spans="1:23" ht="15" customHeight="1">
      <c r="A39" s="235" t="s">
        <v>51</v>
      </c>
      <c r="B39" s="267">
        <v>1</v>
      </c>
      <c r="C39" s="19" t="s">
        <v>7</v>
      </c>
      <c r="D39" s="304" t="s">
        <v>5</v>
      </c>
      <c r="E39" s="127">
        <f>(0.014+0.04+0.08)*100</f>
        <v>13.4</v>
      </c>
      <c r="F39" s="114" t="str">
        <f>"["&amp;ROUND(317,1)&amp;"]"</f>
        <v>[317]</v>
      </c>
      <c r="G39" s="115">
        <f>13401/12</f>
        <v>1116.75</v>
      </c>
      <c r="H39" s="498">
        <f>(0.04+0.08)*100</f>
        <v>12</v>
      </c>
      <c r="I39" s="219">
        <f>G39</f>
        <v>1116.75</v>
      </c>
      <c r="J39" s="180">
        <f>26802/12</f>
        <v>2233.5</v>
      </c>
      <c r="K39" s="498">
        <f>0.08*100</f>
        <v>8</v>
      </c>
      <c r="L39" s="219">
        <f>J39</f>
        <v>2233.5</v>
      </c>
      <c r="M39" s="180">
        <f>35736/12</f>
        <v>2978</v>
      </c>
      <c r="N39" s="120" t="s">
        <v>5</v>
      </c>
      <c r="O39" s="219" t="s">
        <v>5</v>
      </c>
      <c r="P39" s="180" t="s">
        <v>5</v>
      </c>
      <c r="Q39" s="120" t="s">
        <v>5</v>
      </c>
      <c r="R39" s="219" t="s">
        <v>5</v>
      </c>
      <c r="S39" s="180" t="s">
        <v>5</v>
      </c>
      <c r="T39" s="202"/>
      <c r="U39" s="28" t="s">
        <v>6</v>
      </c>
      <c r="V39" s="286">
        <v>100</v>
      </c>
      <c r="W39" s="4" t="str">
        <f t="shared" si="0"/>
        <v>A</v>
      </c>
    </row>
    <row r="40" spans="1:23" ht="15" customHeight="1">
      <c r="A40" s="235" t="s">
        <v>59</v>
      </c>
      <c r="B40" s="267">
        <v>1</v>
      </c>
      <c r="C40" s="19" t="s">
        <v>7</v>
      </c>
      <c r="D40" s="302" t="s">
        <v>5</v>
      </c>
      <c r="E40" s="127">
        <f>0.221*100</f>
        <v>22.1</v>
      </c>
      <c r="F40" s="319" t="s">
        <v>5</v>
      </c>
      <c r="G40" s="320" t="s">
        <v>5</v>
      </c>
      <c r="H40" s="163" t="s">
        <v>5</v>
      </c>
      <c r="I40" s="395" t="s">
        <v>5</v>
      </c>
      <c r="J40" s="472" t="s">
        <v>5</v>
      </c>
      <c r="K40" s="163" t="s">
        <v>5</v>
      </c>
      <c r="L40" s="395" t="s">
        <v>5</v>
      </c>
      <c r="M40" s="472" t="s">
        <v>5</v>
      </c>
      <c r="N40" s="163" t="s">
        <v>5</v>
      </c>
      <c r="O40" s="395" t="s">
        <v>5</v>
      </c>
      <c r="P40" s="472" t="s">
        <v>5</v>
      </c>
      <c r="Q40" s="163" t="s">
        <v>5</v>
      </c>
      <c r="R40" s="395" t="s">
        <v>5</v>
      </c>
      <c r="S40" s="472" t="s">
        <v>5</v>
      </c>
      <c r="T40" s="199" t="s">
        <v>5</v>
      </c>
      <c r="U40" s="19" t="s">
        <v>6</v>
      </c>
      <c r="V40" s="285">
        <v>100</v>
      </c>
      <c r="W40" s="4" t="str">
        <f t="shared" si="0"/>
        <v>A</v>
      </c>
    </row>
    <row r="41" spans="1:23" ht="15" customHeight="1">
      <c r="A41" s="235" t="s">
        <v>213</v>
      </c>
      <c r="B41" s="267">
        <v>1</v>
      </c>
      <c r="C41" s="19" t="s">
        <v>8</v>
      </c>
      <c r="D41" s="302" t="s">
        <v>5</v>
      </c>
      <c r="E41" s="127">
        <f>(0.047+0.0155+0.001)*100</f>
        <v>6.35</v>
      </c>
      <c r="F41" s="114" t="s">
        <v>86</v>
      </c>
      <c r="G41" s="115">
        <v>38761.199999999997</v>
      </c>
      <c r="H41" s="120" t="s">
        <v>5</v>
      </c>
      <c r="I41" s="219" t="s">
        <v>5</v>
      </c>
      <c r="J41" s="180" t="s">
        <v>5</v>
      </c>
      <c r="K41" s="120" t="s">
        <v>5</v>
      </c>
      <c r="L41" s="219" t="s">
        <v>5</v>
      </c>
      <c r="M41" s="180" t="s">
        <v>5</v>
      </c>
      <c r="N41" s="120" t="s">
        <v>5</v>
      </c>
      <c r="O41" s="219" t="s">
        <v>5</v>
      </c>
      <c r="P41" s="180" t="s">
        <v>5</v>
      </c>
      <c r="Q41" s="120" t="s">
        <v>5</v>
      </c>
      <c r="R41" s="219" t="s">
        <v>5</v>
      </c>
      <c r="S41" s="180" t="s">
        <v>5</v>
      </c>
      <c r="T41" s="196">
        <f>G41*(E41/100)</f>
        <v>2461.3361999999997</v>
      </c>
      <c r="U41" s="19" t="s">
        <v>6</v>
      </c>
      <c r="V41" s="285">
        <v>100</v>
      </c>
      <c r="W41" s="4" t="str">
        <f t="shared" si="0"/>
        <v>A</v>
      </c>
    </row>
    <row r="42" spans="1:23" ht="15" customHeight="1">
      <c r="A42" s="235" t="s">
        <v>73</v>
      </c>
      <c r="B42" s="267">
        <v>1</v>
      </c>
      <c r="C42" s="19" t="s">
        <v>8</v>
      </c>
      <c r="D42" s="303" t="s">
        <v>5</v>
      </c>
      <c r="E42" s="127">
        <f>0.07*100</f>
        <v>7.0000000000000009</v>
      </c>
      <c r="F42" s="114" t="str">
        <f>"["&amp;0.423*42800&amp;"]"</f>
        <v>[18104.4]</v>
      </c>
      <c r="G42" s="115">
        <f>8.07*52100</f>
        <v>420447</v>
      </c>
      <c r="H42" s="120" t="s">
        <v>5</v>
      </c>
      <c r="I42" s="219" t="s">
        <v>5</v>
      </c>
      <c r="J42" s="180" t="s">
        <v>5</v>
      </c>
      <c r="K42" s="120" t="s">
        <v>5</v>
      </c>
      <c r="L42" s="219" t="s">
        <v>5</v>
      </c>
      <c r="M42" s="180" t="s">
        <v>5</v>
      </c>
      <c r="N42" s="120" t="s">
        <v>5</v>
      </c>
      <c r="O42" s="219" t="s">
        <v>5</v>
      </c>
      <c r="P42" s="180" t="s">
        <v>5</v>
      </c>
      <c r="Q42" s="120" t="s">
        <v>5</v>
      </c>
      <c r="R42" s="219" t="s">
        <v>5</v>
      </c>
      <c r="S42" s="180" t="s">
        <v>5</v>
      </c>
      <c r="T42" s="196">
        <f>ROUND(E42*G42/100,-2)</f>
        <v>29400</v>
      </c>
      <c r="U42" s="19" t="s">
        <v>28</v>
      </c>
      <c r="V42" s="285">
        <v>100</v>
      </c>
      <c r="W42" s="4" t="str">
        <f t="shared" si="0"/>
        <v>C</v>
      </c>
    </row>
    <row r="43" spans="1:23" ht="15" customHeight="1">
      <c r="A43" s="235" t="s">
        <v>74</v>
      </c>
      <c r="B43" s="267">
        <v>1</v>
      </c>
      <c r="C43" s="19" t="s">
        <v>8</v>
      </c>
      <c r="D43" s="303" t="s">
        <v>5</v>
      </c>
      <c r="E43" s="127">
        <f>(0.011*100)+K43</f>
        <v>6.2499999999999991</v>
      </c>
      <c r="F43" s="319">
        <v>0</v>
      </c>
      <c r="G43" s="181">
        <v>126000</v>
      </c>
      <c r="H43" s="127">
        <f>(0.005*100)+K43</f>
        <v>5.6499999999999995</v>
      </c>
      <c r="I43" s="124">
        <f>G43</f>
        <v>126000</v>
      </c>
      <c r="J43" s="126">
        <v>315000</v>
      </c>
      <c r="K43" s="127">
        <f>0.0515*100</f>
        <v>5.1499999999999995</v>
      </c>
      <c r="L43" s="124">
        <f>J43</f>
        <v>315000</v>
      </c>
      <c r="M43" s="142" t="s">
        <v>5</v>
      </c>
      <c r="N43" s="121" t="s">
        <v>5</v>
      </c>
      <c r="O43" s="218" t="s">
        <v>5</v>
      </c>
      <c r="P43" s="142" t="s">
        <v>5</v>
      </c>
      <c r="Q43" s="121" t="s">
        <v>5</v>
      </c>
      <c r="R43" s="218" t="s">
        <v>5</v>
      </c>
      <c r="S43" s="142" t="s">
        <v>5</v>
      </c>
      <c r="T43" s="131" t="s">
        <v>5</v>
      </c>
      <c r="U43" s="19" t="s">
        <v>6</v>
      </c>
      <c r="V43" s="285">
        <v>100</v>
      </c>
      <c r="W43" s="4" t="str">
        <f t="shared" si="0"/>
        <v>A</v>
      </c>
    </row>
    <row r="44" spans="1:23" s="2" customFormat="1" ht="15" customHeight="1">
      <c r="A44" s="235" t="s">
        <v>43</v>
      </c>
      <c r="B44" s="267">
        <v>1</v>
      </c>
      <c r="C44" s="19" t="s">
        <v>8</v>
      </c>
      <c r="D44" s="302" t="s">
        <v>5</v>
      </c>
      <c r="E44" s="127">
        <f>0.15*100</f>
        <v>15</v>
      </c>
      <c r="F44" s="224" t="s">
        <v>91</v>
      </c>
      <c r="G44" s="320">
        <v>63707</v>
      </c>
      <c r="H44" s="163" t="s">
        <v>5</v>
      </c>
      <c r="I44" s="395" t="s">
        <v>5</v>
      </c>
      <c r="J44" s="472" t="s">
        <v>5</v>
      </c>
      <c r="K44" s="163" t="s">
        <v>5</v>
      </c>
      <c r="L44" s="395" t="s">
        <v>5</v>
      </c>
      <c r="M44" s="472" t="s">
        <v>5</v>
      </c>
      <c r="N44" s="163" t="s">
        <v>5</v>
      </c>
      <c r="O44" s="395" t="s">
        <v>5</v>
      </c>
      <c r="P44" s="472" t="s">
        <v>5</v>
      </c>
      <c r="Q44" s="163" t="s">
        <v>5</v>
      </c>
      <c r="R44" s="395" t="s">
        <v>5</v>
      </c>
      <c r="S44" s="472" t="s">
        <v>5</v>
      </c>
      <c r="T44" s="129">
        <f>G44*E44/100</f>
        <v>9556.0499999999993</v>
      </c>
      <c r="U44" s="281" t="s">
        <v>6</v>
      </c>
      <c r="V44" s="290">
        <v>100</v>
      </c>
      <c r="W44" s="4" t="str">
        <f t="shared" si="0"/>
        <v>A</v>
      </c>
    </row>
    <row r="45" spans="1:23" ht="15" customHeight="1">
      <c r="A45" s="235" t="s">
        <v>47</v>
      </c>
      <c r="B45" s="267">
        <v>1</v>
      </c>
      <c r="C45" s="19" t="s">
        <v>19</v>
      </c>
      <c r="D45" s="303" t="s">
        <v>5</v>
      </c>
      <c r="E45" s="127">
        <f>0.12*100</f>
        <v>12</v>
      </c>
      <c r="F45" s="319">
        <f>7225/52</f>
        <v>138.94230769230768</v>
      </c>
      <c r="G45" s="320">
        <f>42475/52</f>
        <v>816.82692307692309</v>
      </c>
      <c r="H45" s="127">
        <f>0.02*100</f>
        <v>2</v>
      </c>
      <c r="I45" s="319">
        <f>G45</f>
        <v>816.82692307692309</v>
      </c>
      <c r="J45" s="320" t="s">
        <v>5</v>
      </c>
      <c r="K45" s="163" t="s">
        <v>5</v>
      </c>
      <c r="L45" s="395" t="s">
        <v>5</v>
      </c>
      <c r="M45" s="472" t="s">
        <v>5</v>
      </c>
      <c r="N45" s="163" t="s">
        <v>5</v>
      </c>
      <c r="O45" s="395" t="s">
        <v>5</v>
      </c>
      <c r="P45" s="472" t="s">
        <v>5</v>
      </c>
      <c r="Q45" s="163" t="s">
        <v>5</v>
      </c>
      <c r="R45" s="395" t="s">
        <v>5</v>
      </c>
      <c r="S45" s="472" t="s">
        <v>5</v>
      </c>
      <c r="T45" s="131" t="s">
        <v>5</v>
      </c>
      <c r="U45" s="168" t="s">
        <v>5</v>
      </c>
      <c r="V45" s="291" t="s">
        <v>5</v>
      </c>
      <c r="W45" s="4" t="str">
        <f t="shared" si="0"/>
        <v/>
      </c>
    </row>
    <row r="46" spans="1:23" ht="15" customHeight="1">
      <c r="A46" s="246" t="s">
        <v>20</v>
      </c>
      <c r="B46" s="269">
        <v>1</v>
      </c>
      <c r="C46" s="292" t="s">
        <v>8</v>
      </c>
      <c r="D46" s="311" t="s">
        <v>5</v>
      </c>
      <c r="E46" s="293">
        <f>(0.042*100)+H46</f>
        <v>5.65</v>
      </c>
      <c r="F46" s="321">
        <v>0</v>
      </c>
      <c r="G46" s="123">
        <v>106800</v>
      </c>
      <c r="H46" s="293">
        <f>0.0145*100</f>
        <v>1.4500000000000002</v>
      </c>
      <c r="I46" s="122">
        <f>G46</f>
        <v>106800</v>
      </c>
      <c r="J46" s="125" t="s">
        <v>5</v>
      </c>
      <c r="K46" s="476" t="s">
        <v>5</v>
      </c>
      <c r="L46" s="477" t="s">
        <v>5</v>
      </c>
      <c r="M46" s="125" t="s">
        <v>5</v>
      </c>
      <c r="N46" s="476" t="s">
        <v>5</v>
      </c>
      <c r="O46" s="477" t="s">
        <v>5</v>
      </c>
      <c r="P46" s="125" t="s">
        <v>5</v>
      </c>
      <c r="Q46" s="476" t="s">
        <v>5</v>
      </c>
      <c r="R46" s="477" t="s">
        <v>5</v>
      </c>
      <c r="S46" s="125" t="s">
        <v>5</v>
      </c>
      <c r="T46" s="294" t="s">
        <v>5</v>
      </c>
      <c r="U46" s="295" t="s">
        <v>5</v>
      </c>
      <c r="V46" s="296" t="s">
        <v>5</v>
      </c>
    </row>
    <row r="47" spans="1:23" ht="15" customHeight="1">
      <c r="A47" s="176"/>
      <c r="B47" s="169"/>
      <c r="C47" s="19"/>
      <c r="D47" s="23"/>
      <c r="E47" s="18"/>
      <c r="F47" s="88"/>
      <c r="G47" s="22"/>
      <c r="H47" s="22"/>
      <c r="I47" s="22"/>
      <c r="J47" s="22"/>
      <c r="K47" s="22"/>
      <c r="L47" s="22"/>
      <c r="M47" s="22"/>
      <c r="N47" s="22"/>
      <c r="O47" s="22"/>
      <c r="P47" s="22"/>
      <c r="Q47" s="22"/>
      <c r="R47" s="22"/>
      <c r="S47" s="22"/>
      <c r="T47" s="58"/>
      <c r="U47" s="54"/>
      <c r="V47" s="57"/>
    </row>
    <row r="48" spans="1:23" s="75" customFormat="1" ht="12.75" customHeight="1">
      <c r="A48" s="535" t="s">
        <v>94</v>
      </c>
      <c r="B48" s="535"/>
      <c r="C48" s="535"/>
      <c r="D48" s="535"/>
      <c r="E48" s="535"/>
      <c r="F48" s="535"/>
      <c r="G48" s="535"/>
      <c r="H48" s="535"/>
      <c r="I48" s="535"/>
      <c r="J48" s="535"/>
      <c r="K48" s="535"/>
      <c r="L48" s="535"/>
      <c r="M48" s="535"/>
      <c r="N48" s="535"/>
      <c r="O48" s="535"/>
      <c r="P48" s="535"/>
      <c r="Q48" s="535"/>
      <c r="R48" s="535"/>
      <c r="S48" s="535"/>
      <c r="T48" s="535"/>
      <c r="U48" s="535"/>
      <c r="V48" s="535"/>
    </row>
    <row r="49" spans="1:22" s="76" customFormat="1" ht="12.75" customHeight="1">
      <c r="A49" s="539" t="s">
        <v>95</v>
      </c>
      <c r="B49" s="539"/>
      <c r="C49" s="539"/>
      <c r="D49" s="539"/>
      <c r="E49" s="539"/>
      <c r="F49" s="539"/>
      <c r="G49" s="539"/>
      <c r="H49" s="539"/>
      <c r="I49" s="539"/>
      <c r="J49" s="539"/>
      <c r="K49" s="539"/>
      <c r="L49" s="539"/>
      <c r="M49" s="539"/>
      <c r="N49" s="539"/>
      <c r="O49" s="539"/>
      <c r="P49" s="539"/>
      <c r="Q49" s="539"/>
      <c r="R49" s="539"/>
      <c r="S49" s="539"/>
      <c r="T49" s="539"/>
      <c r="U49" s="539"/>
      <c r="V49" s="539"/>
    </row>
    <row r="50" spans="1:22" s="76" customFormat="1" ht="12.75" customHeight="1">
      <c r="A50" s="539" t="s">
        <v>107</v>
      </c>
      <c r="B50" s="539"/>
      <c r="C50" s="539"/>
      <c r="D50" s="539"/>
      <c r="E50" s="539"/>
      <c r="F50" s="539"/>
      <c r="G50" s="539"/>
      <c r="H50" s="539"/>
      <c r="I50" s="539"/>
      <c r="J50" s="539"/>
      <c r="K50" s="539"/>
      <c r="L50" s="539"/>
      <c r="M50" s="539"/>
      <c r="N50" s="539"/>
      <c r="O50" s="539"/>
      <c r="P50" s="539"/>
      <c r="Q50" s="539"/>
      <c r="R50" s="539"/>
      <c r="S50" s="539"/>
      <c r="T50" s="539"/>
      <c r="U50" s="539"/>
      <c r="V50" s="539"/>
    </row>
    <row r="51" spans="1:22" s="76" customFormat="1" ht="12.75" customHeight="1">
      <c r="A51" s="539" t="s">
        <v>108</v>
      </c>
      <c r="B51" s="539"/>
      <c r="C51" s="539"/>
      <c r="D51" s="539"/>
      <c r="E51" s="539"/>
      <c r="F51" s="539"/>
      <c r="G51" s="539"/>
      <c r="H51" s="539"/>
      <c r="I51" s="539"/>
      <c r="J51" s="539"/>
      <c r="K51" s="539"/>
      <c r="L51" s="539"/>
      <c r="M51" s="539"/>
      <c r="N51" s="539"/>
      <c r="O51" s="539"/>
      <c r="P51" s="539"/>
      <c r="Q51" s="539"/>
      <c r="R51" s="539"/>
      <c r="S51" s="539"/>
      <c r="T51" s="539"/>
      <c r="U51" s="539"/>
      <c r="V51" s="539"/>
    </row>
    <row r="52" spans="1:22" s="76" customFormat="1" ht="12.75" customHeight="1">
      <c r="A52" s="516" t="s">
        <v>1</v>
      </c>
      <c r="B52" s="84" t="s">
        <v>122</v>
      </c>
      <c r="C52" s="530" t="s">
        <v>123</v>
      </c>
      <c r="D52" s="103"/>
      <c r="E52" s="103"/>
      <c r="F52" s="104"/>
      <c r="U52" s="99"/>
      <c r="V52" s="99"/>
    </row>
    <row r="53" spans="1:22" s="76" customFormat="1" ht="12.75" customHeight="1">
      <c r="A53" s="517"/>
      <c r="B53" s="85" t="s">
        <v>124</v>
      </c>
      <c r="C53" s="531" t="s">
        <v>126</v>
      </c>
      <c r="D53" s="105"/>
      <c r="E53" s="105"/>
      <c r="F53" s="106"/>
      <c r="U53" s="83"/>
      <c r="V53" s="83"/>
    </row>
    <row r="54" spans="1:22" s="76" customFormat="1" ht="12.75" customHeight="1">
      <c r="A54" s="517"/>
      <c r="B54" s="86" t="s">
        <v>125</v>
      </c>
      <c r="C54" s="109" t="s">
        <v>136</v>
      </c>
      <c r="D54" s="107"/>
      <c r="E54" s="107"/>
      <c r="F54" s="108"/>
      <c r="U54" s="83"/>
      <c r="V54" s="83"/>
    </row>
    <row r="55" spans="1:22" s="76" customFormat="1" ht="12.75" customHeight="1">
      <c r="A55" s="517"/>
      <c r="C55" s="81"/>
      <c r="D55" s="93"/>
      <c r="E55" s="93"/>
      <c r="F55" s="93"/>
      <c r="U55" s="83"/>
      <c r="V55" s="83"/>
    </row>
    <row r="56" spans="1:22" s="76" customFormat="1" ht="12.75" customHeight="1">
      <c r="A56" s="518" t="s">
        <v>127</v>
      </c>
      <c r="B56" s="84" t="s">
        <v>128</v>
      </c>
      <c r="C56" s="530" t="s">
        <v>129</v>
      </c>
      <c r="D56" s="103"/>
      <c r="E56" s="103"/>
      <c r="F56" s="104"/>
      <c r="U56" s="99"/>
      <c r="V56" s="99"/>
    </row>
    <row r="57" spans="1:22" s="76" customFormat="1" ht="12.75" customHeight="1">
      <c r="A57" s="517"/>
      <c r="B57" s="85" t="s">
        <v>130</v>
      </c>
      <c r="C57" s="531" t="s">
        <v>133</v>
      </c>
      <c r="D57" s="105"/>
      <c r="E57" s="105"/>
      <c r="F57" s="106"/>
      <c r="U57" s="83"/>
      <c r="V57" s="83"/>
    </row>
    <row r="58" spans="1:22" s="76" customFormat="1" ht="12.75" customHeight="1">
      <c r="A58" s="517"/>
      <c r="B58" s="85" t="s">
        <v>131</v>
      </c>
      <c r="C58" s="531" t="s">
        <v>132</v>
      </c>
      <c r="D58" s="105"/>
      <c r="E58" s="105"/>
      <c r="F58" s="106"/>
      <c r="U58" s="83"/>
      <c r="V58" s="83"/>
    </row>
    <row r="59" spans="1:22" s="76" customFormat="1" ht="12.75" customHeight="1">
      <c r="A59" s="517"/>
      <c r="B59" s="85" t="s">
        <v>134</v>
      </c>
      <c r="C59" s="531" t="s">
        <v>135</v>
      </c>
      <c r="D59" s="105"/>
      <c r="E59" s="105"/>
      <c r="F59" s="106"/>
      <c r="U59" s="83"/>
      <c r="V59" s="83"/>
    </row>
    <row r="60" spans="1:22" s="76" customFormat="1" ht="12.75" customHeight="1">
      <c r="A60" s="519"/>
      <c r="B60" s="86" t="s">
        <v>28</v>
      </c>
      <c r="C60" s="109" t="s">
        <v>214</v>
      </c>
      <c r="D60" s="109"/>
      <c r="E60" s="109"/>
      <c r="F60" s="110"/>
      <c r="U60" s="83"/>
      <c r="V60" s="83"/>
    </row>
    <row r="61" spans="1:22" s="76" customFormat="1" ht="12.75" customHeight="1">
      <c r="A61" s="520"/>
      <c r="B61" s="78"/>
      <c r="C61" s="78"/>
      <c r="D61" s="83"/>
      <c r="F61" s="83"/>
      <c r="G61" s="83"/>
      <c r="H61" s="83"/>
      <c r="I61" s="83"/>
      <c r="J61" s="83"/>
      <c r="K61" s="83"/>
      <c r="L61" s="83"/>
      <c r="M61" s="83"/>
      <c r="N61" s="83"/>
      <c r="O61" s="83"/>
      <c r="P61" s="83"/>
      <c r="Q61" s="83"/>
      <c r="R61" s="83"/>
      <c r="S61" s="83"/>
      <c r="T61" s="83"/>
      <c r="U61" s="83"/>
      <c r="V61" s="83"/>
    </row>
    <row r="62" spans="1:22" s="76" customFormat="1">
      <c r="A62" s="540" t="s">
        <v>96</v>
      </c>
      <c r="B62" s="540"/>
      <c r="C62" s="540"/>
      <c r="D62" s="540"/>
      <c r="E62" s="540"/>
      <c r="F62" s="540"/>
      <c r="G62" s="540"/>
      <c r="H62" s="540"/>
      <c r="I62" s="540"/>
      <c r="J62" s="540"/>
      <c r="K62" s="540"/>
      <c r="L62" s="540"/>
      <c r="M62" s="540"/>
      <c r="N62" s="540"/>
      <c r="O62" s="540"/>
      <c r="P62" s="540"/>
      <c r="Q62" s="540"/>
      <c r="R62" s="540"/>
      <c r="S62" s="540"/>
      <c r="T62" s="540"/>
      <c r="U62" s="540"/>
      <c r="V62" s="540"/>
    </row>
    <row r="63" spans="1:22" s="76" customFormat="1">
      <c r="A63" s="539" t="s">
        <v>97</v>
      </c>
      <c r="B63" s="539"/>
      <c r="C63" s="539"/>
      <c r="D63" s="539"/>
      <c r="E63" s="539"/>
      <c r="F63" s="539"/>
      <c r="G63" s="539"/>
      <c r="H63" s="539"/>
      <c r="I63" s="539"/>
      <c r="J63" s="539"/>
      <c r="K63" s="539"/>
      <c r="L63" s="539"/>
      <c r="M63" s="539"/>
      <c r="N63" s="539"/>
      <c r="O63" s="539"/>
      <c r="P63" s="539"/>
      <c r="Q63" s="539"/>
      <c r="R63" s="539"/>
      <c r="S63" s="539"/>
      <c r="T63" s="539"/>
      <c r="U63" s="539"/>
      <c r="V63" s="539"/>
    </row>
    <row r="64" spans="1:22" s="76" customFormat="1" ht="22.5" customHeight="1">
      <c r="A64" s="521" t="s">
        <v>98</v>
      </c>
      <c r="B64" s="177"/>
      <c r="C64" s="512"/>
      <c r="D64" s="177"/>
      <c r="E64" s="177"/>
      <c r="F64" s="177"/>
      <c r="G64" s="177"/>
      <c r="H64" s="177"/>
      <c r="I64" s="177"/>
      <c r="J64" s="177"/>
      <c r="K64" s="177"/>
      <c r="L64" s="177"/>
      <c r="M64" s="177"/>
      <c r="N64" s="177"/>
      <c r="O64" s="177"/>
      <c r="P64" s="177"/>
      <c r="Q64" s="177"/>
      <c r="R64" s="177"/>
      <c r="S64" s="177"/>
      <c r="T64" s="177"/>
      <c r="U64" s="177"/>
      <c r="V64" s="177"/>
    </row>
    <row r="65" spans="1:33" s="76" customFormat="1" ht="50.25" customHeight="1">
      <c r="A65" s="539" t="s">
        <v>238</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22.5" customHeight="1">
      <c r="A66" s="539" t="s">
        <v>226</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35.25" customHeight="1">
      <c r="A67" s="539" t="s">
        <v>227</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65.25" customHeight="1">
      <c r="A68" s="539" t="s">
        <v>228</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132" customHeight="1">
      <c r="A69" s="539" t="s">
        <v>229</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50.25" customHeight="1">
      <c r="A70" s="539" t="s">
        <v>230</v>
      </c>
      <c r="B70" s="539"/>
      <c r="C70" s="539"/>
      <c r="D70" s="539"/>
      <c r="E70" s="539"/>
      <c r="F70" s="539"/>
      <c r="G70" s="539"/>
      <c r="H70" s="539"/>
      <c r="I70" s="539"/>
      <c r="J70" s="539"/>
      <c r="K70" s="539"/>
      <c r="L70" s="539"/>
      <c r="M70" s="539"/>
      <c r="N70" s="539"/>
      <c r="O70" s="539"/>
      <c r="P70" s="539"/>
      <c r="Q70" s="539"/>
      <c r="R70" s="539"/>
      <c r="S70" s="539"/>
      <c r="T70" s="539"/>
      <c r="U70" s="539"/>
      <c r="V70" s="539"/>
      <c r="W70" s="83"/>
      <c r="X70" s="83"/>
      <c r="Y70" s="83"/>
      <c r="Z70" s="83"/>
      <c r="AA70" s="83"/>
      <c r="AB70" s="83"/>
      <c r="AC70" s="83"/>
      <c r="AD70" s="83"/>
      <c r="AE70" s="83"/>
      <c r="AF70" s="83"/>
      <c r="AG70" s="83"/>
    </row>
    <row r="71" spans="1:33" s="76" customFormat="1" ht="25.5" customHeight="1">
      <c r="A71" s="542" t="s">
        <v>99</v>
      </c>
      <c r="B71" s="542"/>
      <c r="C71" s="542"/>
      <c r="D71" s="542"/>
      <c r="E71" s="542"/>
      <c r="F71" s="542"/>
      <c r="G71" s="542"/>
      <c r="H71" s="542"/>
      <c r="I71" s="542"/>
      <c r="J71" s="542"/>
      <c r="K71" s="542"/>
      <c r="L71" s="542"/>
      <c r="M71" s="542"/>
      <c r="N71" s="542"/>
      <c r="O71" s="542"/>
      <c r="P71" s="542"/>
      <c r="Q71" s="542"/>
      <c r="R71" s="542"/>
      <c r="S71" s="542"/>
      <c r="T71" s="542"/>
      <c r="U71" s="542"/>
      <c r="V71" s="542"/>
    </row>
    <row r="72" spans="1:33" s="76" customFormat="1" ht="25.5" customHeight="1">
      <c r="A72" s="540" t="s">
        <v>260</v>
      </c>
      <c r="B72" s="540"/>
      <c r="C72" s="540"/>
      <c r="D72" s="540"/>
      <c r="E72" s="540"/>
      <c r="F72" s="540"/>
      <c r="G72" s="540"/>
      <c r="H72" s="540"/>
      <c r="I72" s="540"/>
      <c r="J72" s="540"/>
      <c r="K72" s="540"/>
      <c r="L72" s="540"/>
      <c r="M72" s="540"/>
      <c r="N72" s="540"/>
      <c r="O72" s="540"/>
      <c r="P72" s="540"/>
      <c r="Q72" s="540"/>
      <c r="R72" s="540"/>
      <c r="S72" s="540"/>
      <c r="T72" s="540"/>
      <c r="U72" s="540"/>
      <c r="V72" s="540"/>
    </row>
    <row r="73" spans="1:33" ht="34.5" customHeight="1">
      <c r="A73" s="543" t="s">
        <v>196</v>
      </c>
      <c r="B73" s="543"/>
      <c r="C73" s="543"/>
      <c r="D73" s="543"/>
      <c r="E73" s="543"/>
      <c r="F73" s="543"/>
      <c r="G73" s="543"/>
      <c r="H73" s="543"/>
      <c r="I73" s="543"/>
      <c r="J73" s="543"/>
      <c r="K73" s="543"/>
      <c r="L73" s="543"/>
      <c r="M73" s="543"/>
      <c r="N73" s="543"/>
      <c r="O73" s="543"/>
      <c r="P73" s="543"/>
      <c r="Q73" s="543"/>
      <c r="R73" s="543"/>
      <c r="S73" s="543"/>
      <c r="T73" s="543"/>
      <c r="U73" s="543"/>
      <c r="V73" s="543"/>
    </row>
    <row r="74" spans="1:33" ht="34.5" customHeight="1">
      <c r="A74" s="543" t="s">
        <v>191</v>
      </c>
      <c r="B74" s="543"/>
      <c r="C74" s="543"/>
      <c r="D74" s="543"/>
      <c r="E74" s="543"/>
      <c r="F74" s="543"/>
      <c r="G74" s="543"/>
      <c r="H74" s="543"/>
      <c r="I74" s="543"/>
      <c r="J74" s="543"/>
      <c r="K74" s="543"/>
      <c r="L74" s="543"/>
      <c r="M74" s="543"/>
      <c r="N74" s="543"/>
      <c r="O74" s="543"/>
      <c r="P74" s="543"/>
      <c r="Q74" s="543"/>
      <c r="R74" s="543"/>
      <c r="S74" s="543"/>
      <c r="T74" s="543"/>
      <c r="U74" s="543"/>
      <c r="V74" s="543"/>
    </row>
    <row r="75" spans="1:33" ht="34.5" customHeight="1">
      <c r="A75" s="543" t="s">
        <v>215</v>
      </c>
      <c r="B75" s="543"/>
      <c r="C75" s="543"/>
      <c r="D75" s="543"/>
      <c r="E75" s="543"/>
      <c r="F75" s="543"/>
      <c r="G75" s="543"/>
      <c r="H75" s="543"/>
      <c r="I75" s="543"/>
      <c r="J75" s="543"/>
      <c r="K75" s="543"/>
      <c r="L75" s="543"/>
      <c r="M75" s="543"/>
      <c r="N75" s="543"/>
      <c r="O75" s="543"/>
      <c r="P75" s="543"/>
      <c r="Q75" s="543"/>
      <c r="R75" s="543"/>
      <c r="S75" s="543"/>
      <c r="T75" s="543"/>
      <c r="U75" s="543"/>
      <c r="V75" s="543"/>
    </row>
    <row r="76" spans="1:33" ht="34.5" customHeight="1">
      <c r="A76" s="543" t="s">
        <v>139</v>
      </c>
      <c r="B76" s="543"/>
      <c r="C76" s="543"/>
      <c r="D76" s="543"/>
      <c r="E76" s="543"/>
      <c r="F76" s="543"/>
      <c r="G76" s="543"/>
      <c r="H76" s="543"/>
      <c r="I76" s="543"/>
      <c r="J76" s="543"/>
      <c r="K76" s="543"/>
      <c r="L76" s="543"/>
      <c r="M76" s="543"/>
      <c r="N76" s="543"/>
      <c r="O76" s="543"/>
      <c r="P76" s="543"/>
      <c r="Q76" s="543"/>
      <c r="R76" s="543"/>
      <c r="S76" s="543"/>
      <c r="T76" s="543"/>
      <c r="U76" s="543"/>
      <c r="V76" s="543"/>
    </row>
    <row r="77" spans="1:33" ht="34.5" customHeight="1">
      <c r="A77" s="543" t="s">
        <v>197</v>
      </c>
      <c r="B77" s="543"/>
      <c r="C77" s="543"/>
      <c r="D77" s="543"/>
      <c r="E77" s="543"/>
      <c r="F77" s="543"/>
      <c r="G77" s="543"/>
      <c r="H77" s="543"/>
      <c r="I77" s="543"/>
      <c r="J77" s="543"/>
      <c r="K77" s="543"/>
      <c r="L77" s="543"/>
      <c r="M77" s="543"/>
      <c r="N77" s="543"/>
      <c r="O77" s="543"/>
      <c r="P77" s="543"/>
      <c r="Q77" s="543"/>
      <c r="R77" s="543"/>
      <c r="S77" s="543"/>
      <c r="T77" s="543"/>
      <c r="U77" s="543"/>
      <c r="V77" s="543"/>
    </row>
    <row r="78" spans="1:33" ht="24.75" customHeight="1">
      <c r="A78" s="543" t="s">
        <v>140</v>
      </c>
      <c r="B78" s="543"/>
      <c r="C78" s="543"/>
      <c r="D78" s="543"/>
      <c r="E78" s="543"/>
      <c r="F78" s="543"/>
      <c r="G78" s="543"/>
      <c r="H78" s="543"/>
      <c r="I78" s="543"/>
      <c r="J78" s="543"/>
      <c r="K78" s="543"/>
      <c r="L78" s="543"/>
      <c r="M78" s="543"/>
      <c r="N78" s="543"/>
      <c r="O78" s="543"/>
      <c r="P78" s="543"/>
      <c r="Q78" s="543"/>
      <c r="R78" s="543"/>
      <c r="S78" s="543"/>
      <c r="T78" s="543"/>
      <c r="U78" s="543"/>
      <c r="V78" s="543"/>
    </row>
    <row r="79" spans="1:33" s="76" customFormat="1" ht="20.25" customHeight="1">
      <c r="A79" s="540" t="s">
        <v>217</v>
      </c>
      <c r="B79" s="540"/>
      <c r="C79" s="540"/>
      <c r="D79" s="540"/>
      <c r="E79" s="540"/>
      <c r="F79" s="540"/>
      <c r="G79" s="540"/>
      <c r="H79" s="540"/>
      <c r="I79" s="540"/>
      <c r="J79" s="540"/>
      <c r="K79" s="540"/>
      <c r="L79" s="540"/>
      <c r="M79" s="540"/>
      <c r="N79" s="540"/>
      <c r="O79" s="540"/>
      <c r="P79" s="540"/>
      <c r="Q79" s="540"/>
      <c r="R79" s="540"/>
      <c r="S79" s="540"/>
      <c r="T79" s="540"/>
      <c r="U79" s="540"/>
      <c r="V79" s="540"/>
    </row>
    <row r="80" spans="1:33" ht="35.25" customHeight="1">
      <c r="A80" s="543" t="s">
        <v>193</v>
      </c>
      <c r="B80" s="543"/>
      <c r="C80" s="543"/>
      <c r="D80" s="543"/>
      <c r="E80" s="543"/>
      <c r="F80" s="543"/>
      <c r="G80" s="543"/>
      <c r="H80" s="543"/>
      <c r="I80" s="543"/>
      <c r="J80" s="543"/>
      <c r="K80" s="543"/>
      <c r="L80" s="543"/>
      <c r="M80" s="543"/>
      <c r="N80" s="543"/>
      <c r="O80" s="543"/>
      <c r="P80" s="543"/>
      <c r="Q80" s="543"/>
      <c r="R80" s="543"/>
      <c r="S80" s="543"/>
      <c r="T80" s="543"/>
      <c r="U80" s="543"/>
      <c r="V80" s="543"/>
    </row>
    <row r="81" spans="1:22" ht="46.5" customHeight="1">
      <c r="A81" s="543" t="s">
        <v>141</v>
      </c>
      <c r="B81" s="543"/>
      <c r="C81" s="543"/>
      <c r="D81" s="543"/>
      <c r="E81" s="543"/>
      <c r="F81" s="543"/>
      <c r="G81" s="543"/>
      <c r="H81" s="543"/>
      <c r="I81" s="543"/>
      <c r="J81" s="543"/>
      <c r="K81" s="543"/>
      <c r="L81" s="543"/>
      <c r="M81" s="543"/>
      <c r="N81" s="543"/>
      <c r="O81" s="543"/>
      <c r="P81" s="543"/>
      <c r="Q81" s="543"/>
      <c r="R81" s="543"/>
      <c r="S81" s="543"/>
      <c r="T81" s="543"/>
      <c r="U81" s="543"/>
      <c r="V81" s="543"/>
    </row>
    <row r="82" spans="1:22" ht="35.25" customHeight="1">
      <c r="A82" s="543" t="s">
        <v>199</v>
      </c>
      <c r="B82" s="543"/>
      <c r="C82" s="543"/>
      <c r="D82" s="543"/>
      <c r="E82" s="543"/>
      <c r="F82" s="543"/>
      <c r="G82" s="543"/>
      <c r="H82" s="543"/>
      <c r="I82" s="543"/>
      <c r="J82" s="543"/>
      <c r="K82" s="543"/>
      <c r="L82" s="543"/>
      <c r="M82" s="543"/>
      <c r="N82" s="543"/>
      <c r="O82" s="543"/>
      <c r="P82" s="543"/>
      <c r="Q82" s="543"/>
      <c r="R82" s="543"/>
      <c r="S82" s="543"/>
      <c r="T82" s="543"/>
      <c r="U82" s="543"/>
      <c r="V82" s="543"/>
    </row>
    <row r="83" spans="1:22" ht="35.25" customHeight="1">
      <c r="A83" s="543" t="s">
        <v>200</v>
      </c>
      <c r="B83" s="543"/>
      <c r="C83" s="543"/>
      <c r="D83" s="543"/>
      <c r="E83" s="543"/>
      <c r="F83" s="543"/>
      <c r="G83" s="543"/>
      <c r="H83" s="543"/>
      <c r="I83" s="543"/>
      <c r="J83" s="543"/>
      <c r="K83" s="543"/>
      <c r="L83" s="543"/>
      <c r="M83" s="543"/>
      <c r="N83" s="543"/>
      <c r="O83" s="543"/>
      <c r="P83" s="543"/>
      <c r="Q83" s="543"/>
      <c r="R83" s="543"/>
      <c r="S83" s="543"/>
      <c r="T83" s="543"/>
      <c r="U83" s="543"/>
      <c r="V83" s="543"/>
    </row>
    <row r="84" spans="1:22" ht="24.75" customHeight="1">
      <c r="A84" s="543" t="s">
        <v>189</v>
      </c>
      <c r="B84" s="543"/>
      <c r="C84" s="543"/>
      <c r="D84" s="543"/>
      <c r="E84" s="543"/>
      <c r="F84" s="543"/>
      <c r="G84" s="543"/>
      <c r="H84" s="543"/>
      <c r="I84" s="543"/>
      <c r="J84" s="543"/>
      <c r="K84" s="543"/>
      <c r="L84" s="543"/>
      <c r="M84" s="543"/>
      <c r="N84" s="543"/>
      <c r="O84" s="543"/>
      <c r="P84" s="543"/>
      <c r="Q84" s="543"/>
      <c r="R84" s="543"/>
      <c r="S84" s="543"/>
      <c r="T84" s="543"/>
      <c r="U84" s="543"/>
      <c r="V84" s="543"/>
    </row>
    <row r="85" spans="1:22" ht="45" customHeight="1">
      <c r="A85" s="543" t="s">
        <v>201</v>
      </c>
      <c r="B85" s="543"/>
      <c r="C85" s="543"/>
      <c r="D85" s="543"/>
      <c r="E85" s="543"/>
      <c r="F85" s="543"/>
      <c r="G85" s="543"/>
      <c r="H85" s="543"/>
      <c r="I85" s="543"/>
      <c r="J85" s="543"/>
      <c r="K85" s="543"/>
      <c r="L85" s="543"/>
      <c r="M85" s="543"/>
      <c r="N85" s="543"/>
      <c r="O85" s="543"/>
      <c r="P85" s="543"/>
      <c r="Q85" s="543"/>
      <c r="R85" s="543"/>
      <c r="S85" s="543"/>
      <c r="T85" s="543"/>
      <c r="U85" s="543"/>
      <c r="V85" s="543"/>
    </row>
    <row r="86" spans="1:22" ht="24.75" customHeight="1">
      <c r="A86" s="543" t="s">
        <v>185</v>
      </c>
      <c r="B86" s="543"/>
      <c r="C86" s="543"/>
      <c r="D86" s="543"/>
      <c r="E86" s="543"/>
      <c r="F86" s="543"/>
      <c r="G86" s="543"/>
      <c r="H86" s="543"/>
      <c r="I86" s="543"/>
      <c r="J86" s="543"/>
      <c r="K86" s="543"/>
      <c r="L86" s="543"/>
      <c r="M86" s="543"/>
      <c r="N86" s="543"/>
      <c r="O86" s="543"/>
      <c r="P86" s="543"/>
      <c r="Q86" s="543"/>
      <c r="R86" s="543"/>
      <c r="S86" s="543"/>
      <c r="T86" s="543"/>
      <c r="U86" s="543"/>
      <c r="V86" s="543"/>
    </row>
    <row r="87" spans="1:22" ht="24.75" customHeight="1">
      <c r="A87" s="543" t="s">
        <v>181</v>
      </c>
      <c r="B87" s="543"/>
      <c r="C87" s="543"/>
      <c r="D87" s="543"/>
      <c r="E87" s="543"/>
      <c r="F87" s="543"/>
      <c r="G87" s="543"/>
      <c r="H87" s="543"/>
      <c r="I87" s="543"/>
      <c r="J87" s="543"/>
      <c r="K87" s="543"/>
      <c r="L87" s="543"/>
      <c r="M87" s="543"/>
      <c r="N87" s="543"/>
      <c r="O87" s="543"/>
      <c r="P87" s="543"/>
      <c r="Q87" s="543"/>
      <c r="R87" s="543"/>
      <c r="S87" s="543"/>
      <c r="T87" s="543"/>
      <c r="U87" s="543"/>
      <c r="V87" s="543"/>
    </row>
    <row r="88" spans="1:22" ht="24.75" customHeight="1">
      <c r="A88" s="543" t="s">
        <v>146</v>
      </c>
      <c r="B88" s="543"/>
      <c r="C88" s="543"/>
      <c r="D88" s="543"/>
      <c r="E88" s="543"/>
      <c r="F88" s="543"/>
      <c r="G88" s="543"/>
      <c r="H88" s="543"/>
      <c r="I88" s="543"/>
      <c r="J88" s="543"/>
      <c r="K88" s="543"/>
      <c r="L88" s="543"/>
      <c r="M88" s="543"/>
      <c r="N88" s="543"/>
      <c r="O88" s="543"/>
      <c r="P88" s="543"/>
      <c r="Q88" s="543"/>
      <c r="R88" s="543"/>
      <c r="S88" s="543"/>
      <c r="T88" s="543"/>
      <c r="U88" s="543"/>
      <c r="V88" s="543"/>
    </row>
    <row r="89" spans="1:22" ht="24.75" customHeight="1">
      <c r="A89" s="543" t="s">
        <v>186</v>
      </c>
      <c r="B89" s="543"/>
      <c r="C89" s="543"/>
      <c r="D89" s="543"/>
      <c r="E89" s="543"/>
      <c r="F89" s="543"/>
      <c r="G89" s="543"/>
      <c r="H89" s="543"/>
      <c r="I89" s="543"/>
      <c r="J89" s="543"/>
      <c r="K89" s="543"/>
      <c r="L89" s="543"/>
      <c r="M89" s="543"/>
      <c r="N89" s="543"/>
      <c r="O89" s="543"/>
      <c r="P89" s="543"/>
      <c r="Q89" s="543"/>
      <c r="R89" s="543"/>
      <c r="S89" s="543"/>
      <c r="T89" s="543"/>
      <c r="U89" s="543"/>
      <c r="V89" s="543"/>
    </row>
    <row r="90" spans="1:22" ht="24.75" customHeight="1">
      <c r="A90" s="545" t="s">
        <v>100</v>
      </c>
      <c r="B90" s="545"/>
      <c r="C90" s="545"/>
      <c r="D90" s="545"/>
      <c r="E90" s="545"/>
      <c r="F90" s="545"/>
      <c r="G90" s="545"/>
      <c r="H90" s="545"/>
      <c r="I90" s="545"/>
      <c r="J90" s="545"/>
      <c r="K90" s="545"/>
      <c r="L90" s="545"/>
      <c r="M90" s="545"/>
      <c r="N90" s="545"/>
      <c r="O90" s="545"/>
      <c r="P90" s="545"/>
      <c r="Q90" s="545"/>
      <c r="R90" s="545"/>
      <c r="S90" s="545"/>
      <c r="T90" s="545"/>
      <c r="U90" s="545"/>
      <c r="V90" s="545"/>
    </row>
    <row r="91" spans="1:22" ht="35.25" customHeight="1">
      <c r="A91" s="544" t="s">
        <v>148</v>
      </c>
      <c r="B91" s="544"/>
      <c r="C91" s="544"/>
      <c r="D91" s="544"/>
      <c r="E91" s="544"/>
      <c r="F91" s="544"/>
      <c r="G91" s="544"/>
      <c r="H91" s="544"/>
      <c r="I91" s="544"/>
      <c r="J91" s="544"/>
      <c r="K91" s="544"/>
      <c r="L91" s="544"/>
      <c r="M91" s="544"/>
      <c r="N91" s="544"/>
      <c r="O91" s="544"/>
      <c r="P91" s="544"/>
      <c r="Q91" s="544"/>
      <c r="R91" s="544"/>
      <c r="S91" s="544"/>
      <c r="T91" s="544"/>
      <c r="U91" s="544"/>
      <c r="V91" s="544"/>
    </row>
    <row r="92" spans="1:22" ht="24.75" customHeight="1">
      <c r="A92" s="545" t="s">
        <v>149</v>
      </c>
      <c r="B92" s="545"/>
      <c r="C92" s="545"/>
      <c r="D92" s="545"/>
      <c r="E92" s="545"/>
      <c r="F92" s="545"/>
      <c r="G92" s="545"/>
      <c r="H92" s="545"/>
      <c r="I92" s="545"/>
      <c r="J92" s="545"/>
      <c r="K92" s="545"/>
      <c r="L92" s="545"/>
      <c r="M92" s="545"/>
      <c r="N92" s="545"/>
      <c r="O92" s="545"/>
      <c r="P92" s="545"/>
      <c r="Q92" s="545"/>
      <c r="R92" s="545"/>
      <c r="S92" s="545"/>
      <c r="T92" s="545"/>
      <c r="U92" s="545"/>
      <c r="V92" s="545"/>
    </row>
    <row r="93" spans="1:22" ht="76.5" customHeight="1">
      <c r="A93" s="544" t="s">
        <v>101</v>
      </c>
      <c r="B93" s="544"/>
      <c r="C93" s="544"/>
      <c r="D93" s="544"/>
      <c r="E93" s="544"/>
      <c r="F93" s="544"/>
      <c r="G93" s="544"/>
      <c r="H93" s="544"/>
      <c r="I93" s="544"/>
      <c r="J93" s="544"/>
      <c r="K93" s="544"/>
      <c r="L93" s="544"/>
      <c r="M93" s="544"/>
      <c r="N93" s="544"/>
      <c r="O93" s="544"/>
      <c r="P93" s="544"/>
      <c r="Q93" s="544"/>
      <c r="R93" s="544"/>
      <c r="S93" s="544"/>
      <c r="T93" s="544"/>
      <c r="U93" s="544"/>
      <c r="V93" s="544"/>
    </row>
    <row r="114" spans="1:65">
      <c r="A114" s="526"/>
      <c r="B114" s="28"/>
      <c r="C114" s="170"/>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row>
    <row r="115" spans="1:65">
      <c r="A115" s="527"/>
      <c r="B115" s="170"/>
      <c r="C115" s="170"/>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row>
  </sheetData>
  <mergeCells count="40">
    <mergeCell ref="A79:V79"/>
    <mergeCell ref="A78:V78"/>
    <mergeCell ref="A73:V73"/>
    <mergeCell ref="A76:V76"/>
    <mergeCell ref="A77:V77"/>
    <mergeCell ref="A93:V93"/>
    <mergeCell ref="A89:V89"/>
    <mergeCell ref="A90:V90"/>
    <mergeCell ref="A92:V92"/>
    <mergeCell ref="A91:V91"/>
    <mergeCell ref="A85:V85"/>
    <mergeCell ref="A86:V86"/>
    <mergeCell ref="A87:V87"/>
    <mergeCell ref="A88:V88"/>
    <mergeCell ref="A80:V80"/>
    <mergeCell ref="A81:V81"/>
    <mergeCell ref="A82:V82"/>
    <mergeCell ref="A83:V83"/>
    <mergeCell ref="A84:V84"/>
    <mergeCell ref="A48:V48"/>
    <mergeCell ref="A49:V49"/>
    <mergeCell ref="A50:V50"/>
    <mergeCell ref="A51:V51"/>
    <mergeCell ref="A62:V62"/>
    <mergeCell ref="A63:V63"/>
    <mergeCell ref="A75:V75"/>
    <mergeCell ref="A65:V65"/>
    <mergeCell ref="A66:V66"/>
    <mergeCell ref="A67:V67"/>
    <mergeCell ref="A68:V68"/>
    <mergeCell ref="A69:V69"/>
    <mergeCell ref="A70:V70"/>
    <mergeCell ref="A71:V71"/>
    <mergeCell ref="A74:V74"/>
    <mergeCell ref="A72:V72"/>
    <mergeCell ref="F3:G3"/>
    <mergeCell ref="I3:J3"/>
    <mergeCell ref="L3:M3"/>
    <mergeCell ref="O3:P3"/>
    <mergeCell ref="R3:S3"/>
  </mergeCells>
  <pageMargins left="0.75" right="0.75" top="0.5" bottom="0.21" header="0.5" footer="0.24"/>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114"/>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2" customWidth="1"/>
    <col min="5" max="5" width="8.7109375" style="8" customWidth="1"/>
    <col min="6" max="7" width="12.7109375" style="10" customWidth="1"/>
    <col min="8" max="8" width="8.7109375" style="10" customWidth="1"/>
    <col min="9" max="10" width="12.7109375" style="10" customWidth="1"/>
    <col min="11" max="11" width="8.7109375" style="10" customWidth="1"/>
    <col min="12" max="13" width="12.7109375" style="10" customWidth="1"/>
    <col min="14" max="14" width="8.7109375" style="10" customWidth="1"/>
    <col min="15" max="16" width="12.7109375" style="10" customWidth="1"/>
    <col min="17" max="17" width="8.7109375" style="10" customWidth="1"/>
    <col min="18" max="19" width="12.7109375" style="10" customWidth="1"/>
    <col min="20" max="20" width="12.7109375" style="9" customWidth="1"/>
    <col min="21" max="21" width="5" style="2" bestFit="1" customWidth="1"/>
    <col min="22" max="22" width="15.42578125" style="12" customWidth="1"/>
    <col min="23" max="23" width="12.7109375" style="4" hidden="1" customWidth="1"/>
    <col min="24" max="29" width="12.7109375" style="4" customWidth="1"/>
    <col min="30" max="16384" width="9.140625" style="4"/>
  </cols>
  <sheetData>
    <row r="1" spans="1:23" s="41" customFormat="1" ht="30" customHeight="1">
      <c r="A1" s="514" t="s">
        <v>57</v>
      </c>
      <c r="B1" s="102"/>
      <c r="C1" s="508"/>
      <c r="D1" s="45"/>
      <c r="E1" s="46"/>
      <c r="F1" s="47"/>
      <c r="G1" s="47"/>
      <c r="H1" s="47"/>
      <c r="I1" s="47"/>
      <c r="J1" s="47"/>
      <c r="K1" s="47"/>
      <c r="L1" s="47"/>
      <c r="M1" s="47"/>
      <c r="N1" s="47"/>
      <c r="O1" s="47"/>
      <c r="P1" s="47"/>
      <c r="Q1" s="47"/>
      <c r="R1" s="47"/>
      <c r="S1" s="47"/>
      <c r="T1" s="45"/>
      <c r="U1" s="45"/>
      <c r="V1" s="53"/>
    </row>
    <row r="2" spans="1:23" s="41" customFormat="1" ht="30" customHeight="1">
      <c r="A2" s="514" t="s">
        <v>103</v>
      </c>
      <c r="B2" s="102"/>
      <c r="C2" s="508"/>
      <c r="D2" s="45"/>
      <c r="E2" s="46"/>
      <c r="F2" s="47"/>
      <c r="G2" s="47"/>
      <c r="H2" s="47"/>
      <c r="I2" s="47"/>
      <c r="J2" s="47"/>
      <c r="K2" s="47"/>
      <c r="L2" s="47"/>
      <c r="M2" s="47"/>
      <c r="N2" s="47"/>
      <c r="O2" s="47"/>
      <c r="P2" s="47"/>
      <c r="Q2" s="47"/>
      <c r="R2" s="47"/>
      <c r="S2" s="47"/>
      <c r="T2" s="45"/>
      <c r="U2" s="45"/>
      <c r="V2" s="53"/>
    </row>
    <row r="3" spans="1:23" s="41" customFormat="1" ht="30" customHeight="1">
      <c r="A3" s="514"/>
      <c r="B3" s="102"/>
      <c r="C3" s="508"/>
      <c r="D3" s="45"/>
      <c r="E3" s="46"/>
      <c r="F3" s="536" t="s">
        <v>248</v>
      </c>
      <c r="G3" s="537"/>
      <c r="H3" s="47"/>
      <c r="I3" s="536" t="s">
        <v>248</v>
      </c>
      <c r="J3" s="537"/>
      <c r="K3" s="47"/>
      <c r="L3" s="536" t="s">
        <v>248</v>
      </c>
      <c r="M3" s="537"/>
      <c r="N3" s="47"/>
      <c r="O3" s="536" t="s">
        <v>248</v>
      </c>
      <c r="P3" s="537"/>
      <c r="Q3" s="47"/>
      <c r="R3" s="536" t="s">
        <v>248</v>
      </c>
      <c r="S3" s="537"/>
      <c r="T3" s="45"/>
      <c r="U3" s="45"/>
      <c r="V3" s="53"/>
    </row>
    <row r="4" spans="1:23" s="30" customFormat="1" ht="48.75" customHeight="1">
      <c r="A4" s="515" t="s">
        <v>3</v>
      </c>
      <c r="B4" s="209" t="s">
        <v>231</v>
      </c>
      <c r="C4" s="264" t="s">
        <v>1</v>
      </c>
      <c r="D4" s="251"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27" t="s">
        <v>33</v>
      </c>
      <c r="B5" s="325">
        <v>0</v>
      </c>
      <c r="C5" s="265" t="s">
        <v>250</v>
      </c>
      <c r="D5" s="252" t="s">
        <v>5</v>
      </c>
      <c r="E5" s="229" t="s">
        <v>5</v>
      </c>
      <c r="F5" s="357" t="s">
        <v>5</v>
      </c>
      <c r="G5" s="358" t="s">
        <v>5</v>
      </c>
      <c r="H5" s="337"/>
      <c r="I5" s="357"/>
      <c r="J5" s="358"/>
      <c r="K5" s="337"/>
      <c r="L5" s="357"/>
      <c r="M5" s="358"/>
      <c r="N5" s="337"/>
      <c r="O5" s="357"/>
      <c r="P5" s="358"/>
      <c r="Q5" s="337"/>
      <c r="R5" s="357"/>
      <c r="S5" s="358"/>
      <c r="T5" s="233" t="s">
        <v>5</v>
      </c>
      <c r="U5" s="228" t="s">
        <v>5</v>
      </c>
      <c r="V5" s="338" t="s">
        <v>5</v>
      </c>
      <c r="W5" s="4" t="str">
        <f>IF(U5="TY","A",IF(U5="TY/TYs","AB",IF(U5="TYs", "B",IF(U5="TC","C",IF(U5="-","",)))))</f>
        <v/>
      </c>
    </row>
    <row r="6" spans="1:23" ht="15" customHeight="1">
      <c r="A6" s="339" t="s">
        <v>50</v>
      </c>
      <c r="B6" s="350">
        <v>1</v>
      </c>
      <c r="C6" s="332" t="s">
        <v>7</v>
      </c>
      <c r="D6" s="326" t="s">
        <v>5</v>
      </c>
      <c r="E6" s="127">
        <v>0</v>
      </c>
      <c r="F6" s="114">
        <v>0</v>
      </c>
      <c r="G6" s="115">
        <f>14*366.33</f>
        <v>5128.62</v>
      </c>
      <c r="H6" s="127">
        <f>3.95+10.25+(0.5+0.5)*6/7</f>
        <v>15.057142857142857</v>
      </c>
      <c r="I6" s="114">
        <f>14*366.33</f>
        <v>5128.62</v>
      </c>
      <c r="J6" s="115">
        <f>1155*14</f>
        <v>16170</v>
      </c>
      <c r="K6" s="127">
        <f>3.95+10.25+(0.5+0.5)*6/7+1</f>
        <v>16.057142857142857</v>
      </c>
      <c r="L6" s="114">
        <f>1155*14</f>
        <v>16170</v>
      </c>
      <c r="M6" s="115">
        <f>1260*14</f>
        <v>17640</v>
      </c>
      <c r="N6" s="127">
        <f>3.95+10.25+(0.5+0.5)*6/7+2</f>
        <v>17.057142857142857</v>
      </c>
      <c r="O6" s="114">
        <f>1260*14</f>
        <v>17640</v>
      </c>
      <c r="P6" s="115">
        <f>1417*14</f>
        <v>19838</v>
      </c>
      <c r="Q6" s="127">
        <f>3.95+10.25+(0.5+0.5)*6/7+3</f>
        <v>18.057142857142857</v>
      </c>
      <c r="R6" s="114">
        <f>1417*14</f>
        <v>19838</v>
      </c>
      <c r="S6" s="115">
        <f>4110*14</f>
        <v>57540</v>
      </c>
      <c r="T6" s="192">
        <f>S6*Q6/100</f>
        <v>10390.08</v>
      </c>
      <c r="U6" s="19" t="s">
        <v>6</v>
      </c>
      <c r="V6" s="340">
        <v>100</v>
      </c>
      <c r="W6" s="4" t="str">
        <f t="shared" ref="W6:W45" si="0">IF(U6="TY","A",IF(U6="TY/TYs","AB",IF(U6="TYs", "B",IF(U6="TC","C",IF(U6="-","",)))))</f>
        <v>A</v>
      </c>
    </row>
    <row r="7" spans="1:23" ht="15" customHeight="1">
      <c r="A7" s="235" t="s">
        <v>26</v>
      </c>
      <c r="B7" s="350">
        <v>1</v>
      </c>
      <c r="C7" s="333" t="s">
        <v>7</v>
      </c>
      <c r="D7" s="326" t="s">
        <v>5</v>
      </c>
      <c r="E7" s="127">
        <f>(0.0087+0.0115+0.0355+0.075)*100</f>
        <v>13.069999999999999</v>
      </c>
      <c r="F7" s="359" t="s">
        <v>5</v>
      </c>
      <c r="G7" s="360" t="s">
        <v>5</v>
      </c>
      <c r="H7" s="187" t="s">
        <v>5</v>
      </c>
      <c r="I7" s="362" t="s">
        <v>5</v>
      </c>
      <c r="J7" s="361" t="s">
        <v>5</v>
      </c>
      <c r="K7" s="187" t="s">
        <v>5</v>
      </c>
      <c r="L7" s="362" t="s">
        <v>5</v>
      </c>
      <c r="M7" s="361" t="s">
        <v>5</v>
      </c>
      <c r="N7" s="187" t="s">
        <v>5</v>
      </c>
      <c r="O7" s="362" t="s">
        <v>5</v>
      </c>
      <c r="P7" s="361" t="s">
        <v>5</v>
      </c>
      <c r="Q7" s="187" t="s">
        <v>5</v>
      </c>
      <c r="R7" s="362" t="s">
        <v>5</v>
      </c>
      <c r="S7" s="361" t="s">
        <v>5</v>
      </c>
      <c r="T7" s="203" t="s">
        <v>5</v>
      </c>
      <c r="U7" s="19" t="s">
        <v>6</v>
      </c>
      <c r="V7" s="340">
        <v>100</v>
      </c>
      <c r="W7" s="4" t="str">
        <f t="shared" si="0"/>
        <v>A</v>
      </c>
    </row>
    <row r="8" spans="1:23" ht="15" customHeight="1">
      <c r="A8" s="235" t="s">
        <v>49</v>
      </c>
      <c r="B8" s="350">
        <v>1</v>
      </c>
      <c r="C8" s="333" t="s">
        <v>8</v>
      </c>
      <c r="D8" s="254" t="s">
        <v>5</v>
      </c>
      <c r="E8" s="127">
        <f>0.0173*100</f>
        <v>1.73</v>
      </c>
      <c r="F8" s="114">
        <v>0</v>
      </c>
      <c r="G8" s="115">
        <v>3500</v>
      </c>
      <c r="H8" s="127">
        <f>E8+(0.0495*100)</f>
        <v>6.68</v>
      </c>
      <c r="I8" s="114">
        <f>G8</f>
        <v>3500</v>
      </c>
      <c r="J8" s="115">
        <f>747.36/0.0173</f>
        <v>43200</v>
      </c>
      <c r="K8" s="127">
        <f>0.0495*100</f>
        <v>4.95</v>
      </c>
      <c r="L8" s="114">
        <f>J8</f>
        <v>43200</v>
      </c>
      <c r="M8" s="115">
        <f>(2163.15/0.0495)+3500</f>
        <v>47200</v>
      </c>
      <c r="N8" s="120" t="s">
        <v>5</v>
      </c>
      <c r="O8" s="219" t="s">
        <v>5</v>
      </c>
      <c r="P8" s="180" t="s">
        <v>5</v>
      </c>
      <c r="Q8" s="120" t="s">
        <v>5</v>
      </c>
      <c r="R8" s="219" t="s">
        <v>5</v>
      </c>
      <c r="S8" s="180" t="s">
        <v>5</v>
      </c>
      <c r="T8" s="192">
        <f>(G8-F8)*E8/100 + (J8-I8)*H8/100 + (M8-L8)*K8/100</f>
        <v>2910.51</v>
      </c>
      <c r="U8" s="67" t="s">
        <v>5</v>
      </c>
      <c r="V8" s="341" t="s">
        <v>5</v>
      </c>
      <c r="W8" s="4" t="str">
        <f t="shared" si="0"/>
        <v/>
      </c>
    </row>
    <row r="9" spans="1:23" ht="15" customHeight="1">
      <c r="A9" s="235" t="s">
        <v>66</v>
      </c>
      <c r="B9" s="350">
        <v>1</v>
      </c>
      <c r="C9" s="333" t="s">
        <v>7</v>
      </c>
      <c r="D9" s="254" t="s">
        <v>5</v>
      </c>
      <c r="E9" s="127">
        <f>0.07*100</f>
        <v>7.0000000000000009</v>
      </c>
      <c r="F9" s="114">
        <v>0</v>
      </c>
      <c r="G9" s="115">
        <f>16453329/12</f>
        <v>1371110.75</v>
      </c>
      <c r="H9" s="120" t="s">
        <v>5</v>
      </c>
      <c r="I9" s="219" t="s">
        <v>5</v>
      </c>
      <c r="J9" s="180" t="s">
        <v>5</v>
      </c>
      <c r="K9" s="120" t="s">
        <v>5</v>
      </c>
      <c r="L9" s="219" t="s">
        <v>5</v>
      </c>
      <c r="M9" s="180" t="s">
        <v>5</v>
      </c>
      <c r="N9" s="120" t="s">
        <v>5</v>
      </c>
      <c r="O9" s="219" t="s">
        <v>5</v>
      </c>
      <c r="P9" s="180" t="s">
        <v>5</v>
      </c>
      <c r="Q9" s="120" t="s">
        <v>5</v>
      </c>
      <c r="R9" s="219" t="s">
        <v>5</v>
      </c>
      <c r="S9" s="180" t="s">
        <v>5</v>
      </c>
      <c r="T9" s="192">
        <f>+E9/100*G9</f>
        <v>95977.752500000002</v>
      </c>
      <c r="U9" s="19" t="s">
        <v>5</v>
      </c>
      <c r="V9" s="340" t="s">
        <v>5</v>
      </c>
      <c r="W9" s="4" t="str">
        <f t="shared" si="0"/>
        <v/>
      </c>
    </row>
    <row r="10" spans="1:23" ht="15" customHeight="1">
      <c r="A10" s="235" t="s">
        <v>22</v>
      </c>
      <c r="B10" s="350">
        <v>1</v>
      </c>
      <c r="C10" s="332" t="s">
        <v>7</v>
      </c>
      <c r="D10" s="327" t="s">
        <v>5</v>
      </c>
      <c r="E10" s="119">
        <v>4.5</v>
      </c>
      <c r="F10" s="114">
        <v>0</v>
      </c>
      <c r="G10" s="115">
        <f>1707048/12</f>
        <v>142254</v>
      </c>
      <c r="H10" s="120" t="s">
        <v>5</v>
      </c>
      <c r="I10" s="219" t="s">
        <v>5</v>
      </c>
      <c r="J10" s="180" t="s">
        <v>5</v>
      </c>
      <c r="K10" s="120" t="s">
        <v>5</v>
      </c>
      <c r="L10" s="219" t="s">
        <v>5</v>
      </c>
      <c r="M10" s="180" t="s">
        <v>5</v>
      </c>
      <c r="N10" s="120" t="s">
        <v>5</v>
      </c>
      <c r="O10" s="219" t="s">
        <v>5</v>
      </c>
      <c r="P10" s="180" t="s">
        <v>5</v>
      </c>
      <c r="Q10" s="120" t="s">
        <v>5</v>
      </c>
      <c r="R10" s="219" t="s">
        <v>5</v>
      </c>
      <c r="S10" s="180" t="s">
        <v>5</v>
      </c>
      <c r="T10" s="192">
        <f>G10*E10/100</f>
        <v>6401.43</v>
      </c>
      <c r="U10" s="28" t="s">
        <v>5</v>
      </c>
      <c r="V10" s="342" t="s">
        <v>5</v>
      </c>
      <c r="W10" s="4" t="str">
        <f t="shared" si="0"/>
        <v/>
      </c>
    </row>
    <row r="11" spans="1:23" ht="15" customHeight="1">
      <c r="A11" s="235" t="s">
        <v>22</v>
      </c>
      <c r="B11" s="350">
        <v>2</v>
      </c>
      <c r="C11" s="332" t="s">
        <v>7</v>
      </c>
      <c r="D11" s="327" t="s">
        <v>5</v>
      </c>
      <c r="E11" s="119">
        <v>6.5</v>
      </c>
      <c r="F11" s="114">
        <v>0</v>
      </c>
      <c r="G11" s="115">
        <f>1707048/12</f>
        <v>142254</v>
      </c>
      <c r="H11" s="120" t="s">
        <v>5</v>
      </c>
      <c r="I11" s="219" t="s">
        <v>5</v>
      </c>
      <c r="J11" s="180" t="s">
        <v>5</v>
      </c>
      <c r="K11" s="120" t="s">
        <v>5</v>
      </c>
      <c r="L11" s="219" t="s">
        <v>5</v>
      </c>
      <c r="M11" s="180" t="s">
        <v>5</v>
      </c>
      <c r="N11" s="120" t="s">
        <v>5</v>
      </c>
      <c r="O11" s="219" t="s">
        <v>5</v>
      </c>
      <c r="P11" s="180" t="s">
        <v>5</v>
      </c>
      <c r="Q11" s="120" t="s">
        <v>5</v>
      </c>
      <c r="R11" s="219" t="s">
        <v>5</v>
      </c>
      <c r="S11" s="180" t="s">
        <v>5</v>
      </c>
      <c r="T11" s="192">
        <f>G11*E11/100</f>
        <v>9246.51</v>
      </c>
      <c r="U11" s="28" t="s">
        <v>5</v>
      </c>
      <c r="V11" s="342" t="s">
        <v>5</v>
      </c>
      <c r="W11" s="4" t="str">
        <f t="shared" si="0"/>
        <v/>
      </c>
    </row>
    <row r="12" spans="1:23" ht="15" customHeight="1">
      <c r="A12" s="235" t="s">
        <v>237</v>
      </c>
      <c r="B12" s="350">
        <v>1</v>
      </c>
      <c r="C12" s="333" t="s">
        <v>8</v>
      </c>
      <c r="D12" s="351">
        <v>1080</v>
      </c>
      <c r="E12" s="207" t="s">
        <v>5</v>
      </c>
      <c r="F12" s="219" t="s">
        <v>5</v>
      </c>
      <c r="G12" s="361" t="s">
        <v>5</v>
      </c>
      <c r="H12" s="187" t="s">
        <v>5</v>
      </c>
      <c r="I12" s="362" t="s">
        <v>5</v>
      </c>
      <c r="J12" s="361" t="s">
        <v>5</v>
      </c>
      <c r="K12" s="187" t="s">
        <v>5</v>
      </c>
      <c r="L12" s="362" t="s">
        <v>5</v>
      </c>
      <c r="M12" s="361" t="s">
        <v>5</v>
      </c>
      <c r="N12" s="187" t="s">
        <v>5</v>
      </c>
      <c r="O12" s="362" t="s">
        <v>5</v>
      </c>
      <c r="P12" s="361" t="s">
        <v>5</v>
      </c>
      <c r="Q12" s="187" t="s">
        <v>5</v>
      </c>
      <c r="R12" s="362" t="s">
        <v>5</v>
      </c>
      <c r="S12" s="361" t="s">
        <v>5</v>
      </c>
      <c r="T12" s="188" t="s">
        <v>5</v>
      </c>
      <c r="U12" s="19" t="s">
        <v>6</v>
      </c>
      <c r="V12" s="343">
        <v>100</v>
      </c>
      <c r="W12" s="4" t="str">
        <f t="shared" si="0"/>
        <v>A</v>
      </c>
    </row>
    <row r="13" spans="1:23" ht="15" customHeight="1">
      <c r="A13" s="235" t="s">
        <v>58</v>
      </c>
      <c r="B13" s="350">
        <v>1</v>
      </c>
      <c r="C13" s="333" t="s">
        <v>7</v>
      </c>
      <c r="D13" s="326" t="s">
        <v>5</v>
      </c>
      <c r="E13" s="127">
        <f>0.028*100</f>
        <v>2.8000000000000003</v>
      </c>
      <c r="F13" s="114" t="s">
        <v>5</v>
      </c>
      <c r="G13" s="360" t="s">
        <v>5</v>
      </c>
      <c r="H13" s="187" t="s">
        <v>5</v>
      </c>
      <c r="I13" s="362" t="s">
        <v>5</v>
      </c>
      <c r="J13" s="361" t="s">
        <v>5</v>
      </c>
      <c r="K13" s="187" t="s">
        <v>5</v>
      </c>
      <c r="L13" s="362" t="s">
        <v>5</v>
      </c>
      <c r="M13" s="361" t="s">
        <v>5</v>
      </c>
      <c r="N13" s="187" t="s">
        <v>5</v>
      </c>
      <c r="O13" s="362" t="s">
        <v>5</v>
      </c>
      <c r="P13" s="361" t="s">
        <v>5</v>
      </c>
      <c r="Q13" s="187" t="s">
        <v>5</v>
      </c>
      <c r="R13" s="362" t="s">
        <v>5</v>
      </c>
      <c r="S13" s="361" t="s">
        <v>5</v>
      </c>
      <c r="T13" s="203" t="s">
        <v>5</v>
      </c>
      <c r="U13" s="19" t="s">
        <v>6</v>
      </c>
      <c r="V13" s="340">
        <v>100</v>
      </c>
      <c r="W13" s="4" t="str">
        <f t="shared" si="0"/>
        <v>A</v>
      </c>
    </row>
    <row r="14" spans="1:23" ht="15" customHeight="1">
      <c r="A14" s="235" t="s">
        <v>56</v>
      </c>
      <c r="B14" s="350">
        <v>1</v>
      </c>
      <c r="C14" s="333" t="s">
        <v>10</v>
      </c>
      <c r="D14" s="329" t="s">
        <v>5</v>
      </c>
      <c r="E14" s="127">
        <f>0.0147*100</f>
        <v>1.47</v>
      </c>
      <c r="F14" s="114" t="s">
        <v>5</v>
      </c>
      <c r="G14" s="183" t="s">
        <v>5</v>
      </c>
      <c r="H14" s="187" t="s">
        <v>5</v>
      </c>
      <c r="I14" s="362" t="s">
        <v>5</v>
      </c>
      <c r="J14" s="361" t="s">
        <v>5</v>
      </c>
      <c r="K14" s="187" t="s">
        <v>5</v>
      </c>
      <c r="L14" s="362" t="s">
        <v>5</v>
      </c>
      <c r="M14" s="361" t="s">
        <v>5</v>
      </c>
      <c r="N14" s="187" t="s">
        <v>5</v>
      </c>
      <c r="O14" s="362" t="s">
        <v>5</v>
      </c>
      <c r="P14" s="361" t="s">
        <v>5</v>
      </c>
      <c r="Q14" s="187" t="s">
        <v>5</v>
      </c>
      <c r="R14" s="362" t="s">
        <v>5</v>
      </c>
      <c r="S14" s="361" t="s">
        <v>5</v>
      </c>
      <c r="T14" s="192" t="s">
        <v>5</v>
      </c>
      <c r="U14" s="19" t="s">
        <v>5</v>
      </c>
      <c r="V14" s="340" t="s">
        <v>5</v>
      </c>
      <c r="W14" s="4" t="str">
        <f t="shared" si="0"/>
        <v/>
      </c>
    </row>
    <row r="15" spans="1:23" ht="15" customHeight="1">
      <c r="A15" s="235" t="s">
        <v>56</v>
      </c>
      <c r="B15" s="350">
        <v>2</v>
      </c>
      <c r="C15" s="333" t="s">
        <v>8</v>
      </c>
      <c r="D15" s="329" t="s">
        <v>5</v>
      </c>
      <c r="E15" s="127">
        <f>0.0583*100</f>
        <v>5.83</v>
      </c>
      <c r="F15" s="114" t="s">
        <v>5</v>
      </c>
      <c r="G15" s="183" t="s">
        <v>5</v>
      </c>
      <c r="H15" s="187" t="s">
        <v>5</v>
      </c>
      <c r="I15" s="362" t="s">
        <v>5</v>
      </c>
      <c r="J15" s="361" t="s">
        <v>5</v>
      </c>
      <c r="K15" s="187" t="s">
        <v>5</v>
      </c>
      <c r="L15" s="362" t="s">
        <v>5</v>
      </c>
      <c r="M15" s="361" t="s">
        <v>5</v>
      </c>
      <c r="N15" s="187" t="s">
        <v>5</v>
      </c>
      <c r="O15" s="362" t="s">
        <v>5</v>
      </c>
      <c r="P15" s="361" t="s">
        <v>5</v>
      </c>
      <c r="Q15" s="187" t="s">
        <v>5</v>
      </c>
      <c r="R15" s="362" t="s">
        <v>5</v>
      </c>
      <c r="S15" s="361" t="s">
        <v>5</v>
      </c>
      <c r="T15" s="192" t="s">
        <v>5</v>
      </c>
      <c r="U15" s="19" t="s">
        <v>6</v>
      </c>
      <c r="V15" s="340">
        <v>100</v>
      </c>
      <c r="W15" s="4" t="str">
        <f t="shared" si="0"/>
        <v>A</v>
      </c>
    </row>
    <row r="16" spans="1:23" ht="15" customHeight="1">
      <c r="A16" s="235" t="s">
        <v>52</v>
      </c>
      <c r="B16" s="350">
        <v>1</v>
      </c>
      <c r="C16" s="333" t="s">
        <v>8</v>
      </c>
      <c r="D16" s="254" t="s">
        <v>5</v>
      </c>
      <c r="E16" s="127">
        <f>(0.0665+0.0075+0.024+0.038+0.001)*100</f>
        <v>13.700000000000001</v>
      </c>
      <c r="F16" s="114">
        <v>0</v>
      </c>
      <c r="G16" s="115">
        <v>34620</v>
      </c>
      <c r="H16" s="127">
        <f>(0.0075+0.024+0.089+0.001)*100</f>
        <v>12.15</v>
      </c>
      <c r="I16" s="114">
        <f>+G16</f>
        <v>34620</v>
      </c>
      <c r="J16" s="115">
        <f>3*G16</f>
        <v>103860</v>
      </c>
      <c r="K16" s="127">
        <f>(0.0075+0.024+0.001)*100</f>
        <v>3.25</v>
      </c>
      <c r="L16" s="114">
        <f>+J16</f>
        <v>103860</v>
      </c>
      <c r="M16" s="115">
        <f>4*G16</f>
        <v>138480</v>
      </c>
      <c r="N16" s="127">
        <f>(0.0075+0.001)*100</f>
        <v>0.85000000000000009</v>
      </c>
      <c r="O16" s="114">
        <f>+M16</f>
        <v>138480</v>
      </c>
      <c r="P16" s="180" t="s">
        <v>5</v>
      </c>
      <c r="Q16" s="120" t="s">
        <v>5</v>
      </c>
      <c r="R16" s="219" t="s">
        <v>5</v>
      </c>
      <c r="S16" s="180" t="s">
        <v>5</v>
      </c>
      <c r="T16" s="188" t="s">
        <v>5</v>
      </c>
      <c r="U16" s="19" t="s">
        <v>6</v>
      </c>
      <c r="V16" s="340">
        <f>E16*100/E16</f>
        <v>99.999999999999986</v>
      </c>
      <c r="W16" s="4" t="str">
        <f t="shared" si="0"/>
        <v>A</v>
      </c>
    </row>
    <row r="17" spans="1:23" ht="15" customHeight="1">
      <c r="A17" s="272" t="s">
        <v>54</v>
      </c>
      <c r="B17" s="350">
        <v>1</v>
      </c>
      <c r="C17" s="333" t="s">
        <v>8</v>
      </c>
      <c r="D17" s="254" t="s">
        <v>5</v>
      </c>
      <c r="E17" s="127">
        <f>(0.0995+0.079+0.014+0.00975)*100</f>
        <v>20.225000000000001</v>
      </c>
      <c r="F17" s="114">
        <v>0</v>
      </c>
      <c r="G17" s="115">
        <v>45000</v>
      </c>
      <c r="H17" s="127">
        <f>(0.0995+0.014)*100</f>
        <v>11.35</v>
      </c>
      <c r="I17" s="114">
        <v>45000</v>
      </c>
      <c r="J17" s="115">
        <v>66000</v>
      </c>
      <c r="K17" s="120" t="s">
        <v>5</v>
      </c>
      <c r="L17" s="219" t="s">
        <v>5</v>
      </c>
      <c r="M17" s="180" t="s">
        <v>5</v>
      </c>
      <c r="N17" s="120" t="s">
        <v>5</v>
      </c>
      <c r="O17" s="219" t="s">
        <v>5</v>
      </c>
      <c r="P17" s="180" t="s">
        <v>5</v>
      </c>
      <c r="Q17" s="120" t="s">
        <v>5</v>
      </c>
      <c r="R17" s="219" t="s">
        <v>5</v>
      </c>
      <c r="S17" s="180" t="s">
        <v>5</v>
      </c>
      <c r="T17" s="192">
        <f>(G17-F17)*E17/100 + (J17-I17)*H17/100</f>
        <v>11484.750000000002</v>
      </c>
      <c r="U17" s="62" t="s">
        <v>6</v>
      </c>
      <c r="V17" s="237" t="s">
        <v>218</v>
      </c>
      <c r="W17" s="4" t="str">
        <f t="shared" si="0"/>
        <v>A</v>
      </c>
    </row>
    <row r="18" spans="1:23" ht="15" customHeight="1">
      <c r="A18" s="235" t="s">
        <v>53</v>
      </c>
      <c r="B18" s="350">
        <v>1</v>
      </c>
      <c r="C18" s="333" t="s">
        <v>7</v>
      </c>
      <c r="D18" s="329" t="s">
        <v>5</v>
      </c>
      <c r="E18" s="127">
        <v>16</v>
      </c>
      <c r="F18" s="114">
        <v>0</v>
      </c>
      <c r="G18" s="115">
        <f>77655.2/14</f>
        <v>5546.8</v>
      </c>
      <c r="H18" s="120" t="s">
        <v>5</v>
      </c>
      <c r="I18" s="219" t="s">
        <v>5</v>
      </c>
      <c r="J18" s="180" t="s">
        <v>5</v>
      </c>
      <c r="K18" s="120" t="s">
        <v>5</v>
      </c>
      <c r="L18" s="219" t="s">
        <v>5</v>
      </c>
      <c r="M18" s="180" t="s">
        <v>5</v>
      </c>
      <c r="N18" s="120" t="s">
        <v>5</v>
      </c>
      <c r="O18" s="219" t="s">
        <v>5</v>
      </c>
      <c r="P18" s="180" t="s">
        <v>5</v>
      </c>
      <c r="Q18" s="120" t="s">
        <v>5</v>
      </c>
      <c r="R18" s="219" t="s">
        <v>5</v>
      </c>
      <c r="S18" s="180" t="s">
        <v>5</v>
      </c>
      <c r="T18" s="192">
        <f>G18*E18/100</f>
        <v>887.48800000000006</v>
      </c>
      <c r="U18" s="19" t="s">
        <v>6</v>
      </c>
      <c r="V18" s="340">
        <v>100</v>
      </c>
      <c r="W18" s="4" t="str">
        <f t="shared" si="0"/>
        <v>A</v>
      </c>
    </row>
    <row r="19" spans="1:23" ht="15" customHeight="1">
      <c r="A19" s="235" t="s">
        <v>23</v>
      </c>
      <c r="B19" s="350">
        <v>1</v>
      </c>
      <c r="C19" s="333" t="s">
        <v>8</v>
      </c>
      <c r="D19" s="326" t="s">
        <v>5</v>
      </c>
      <c r="E19" s="127">
        <f>0.095*100</f>
        <v>9.5</v>
      </c>
      <c r="F19" s="114">
        <v>0</v>
      </c>
      <c r="G19" s="115">
        <v>7453300</v>
      </c>
      <c r="H19" s="120" t="s">
        <v>5</v>
      </c>
      <c r="I19" s="219" t="s">
        <v>5</v>
      </c>
      <c r="J19" s="180" t="s">
        <v>5</v>
      </c>
      <c r="K19" s="120" t="s">
        <v>5</v>
      </c>
      <c r="L19" s="219" t="s">
        <v>5</v>
      </c>
      <c r="M19" s="180" t="s">
        <v>5</v>
      </c>
      <c r="N19" s="120" t="s">
        <v>5</v>
      </c>
      <c r="O19" s="219" t="s">
        <v>5</v>
      </c>
      <c r="P19" s="180" t="s">
        <v>5</v>
      </c>
      <c r="Q19" s="120" t="s">
        <v>5</v>
      </c>
      <c r="R19" s="219" t="s">
        <v>5</v>
      </c>
      <c r="S19" s="180" t="s">
        <v>5</v>
      </c>
      <c r="T19" s="203">
        <f>+G19*E19/100</f>
        <v>708063.5</v>
      </c>
      <c r="U19" s="23" t="s">
        <v>5</v>
      </c>
      <c r="V19" s="343" t="s">
        <v>5</v>
      </c>
      <c r="W19" s="4" t="str">
        <f t="shared" si="0"/>
        <v/>
      </c>
    </row>
    <row r="20" spans="1:23" ht="15" customHeight="1">
      <c r="A20" s="235" t="s">
        <v>23</v>
      </c>
      <c r="B20" s="350">
        <v>2</v>
      </c>
      <c r="C20" s="333" t="s">
        <v>8</v>
      </c>
      <c r="D20" s="326" t="s">
        <v>5</v>
      </c>
      <c r="E20" s="127">
        <f>(0.06+0.015)*100</f>
        <v>7.5</v>
      </c>
      <c r="F20" s="114" t="s">
        <v>5</v>
      </c>
      <c r="G20" s="115" t="s">
        <v>5</v>
      </c>
      <c r="H20" s="120" t="s">
        <v>5</v>
      </c>
      <c r="I20" s="219" t="s">
        <v>5</v>
      </c>
      <c r="J20" s="180" t="s">
        <v>5</v>
      </c>
      <c r="K20" s="120" t="s">
        <v>5</v>
      </c>
      <c r="L20" s="219" t="s">
        <v>5</v>
      </c>
      <c r="M20" s="180" t="s">
        <v>5</v>
      </c>
      <c r="N20" s="120" t="s">
        <v>5</v>
      </c>
      <c r="O20" s="219" t="s">
        <v>5</v>
      </c>
      <c r="P20" s="180" t="s">
        <v>5</v>
      </c>
      <c r="Q20" s="120" t="s">
        <v>5</v>
      </c>
      <c r="R20" s="219" t="s">
        <v>5</v>
      </c>
      <c r="S20" s="180" t="s">
        <v>5</v>
      </c>
      <c r="T20" s="203" t="s">
        <v>5</v>
      </c>
      <c r="U20" s="23" t="s">
        <v>5</v>
      </c>
      <c r="V20" s="343" t="s">
        <v>5</v>
      </c>
      <c r="W20" s="4" t="str">
        <f t="shared" si="0"/>
        <v/>
      </c>
    </row>
    <row r="21" spans="1:23" ht="15" customHeight="1">
      <c r="A21" s="235" t="s">
        <v>68</v>
      </c>
      <c r="B21" s="350">
        <v>1</v>
      </c>
      <c r="C21" s="332" t="s">
        <v>6</v>
      </c>
      <c r="D21" s="351">
        <v>26300</v>
      </c>
      <c r="E21" s="127" t="s">
        <v>24</v>
      </c>
      <c r="F21" s="114">
        <v>1425218</v>
      </c>
      <c r="G21" s="115" t="s">
        <v>24</v>
      </c>
      <c r="H21" s="120" t="s">
        <v>5</v>
      </c>
      <c r="I21" s="219" t="s">
        <v>5</v>
      </c>
      <c r="J21" s="180" t="s">
        <v>5</v>
      </c>
      <c r="K21" s="120" t="s">
        <v>5</v>
      </c>
      <c r="L21" s="219" t="s">
        <v>5</v>
      </c>
      <c r="M21" s="180" t="s">
        <v>5</v>
      </c>
      <c r="N21" s="120" t="s">
        <v>5</v>
      </c>
      <c r="O21" s="219" t="s">
        <v>5</v>
      </c>
      <c r="P21" s="180" t="s">
        <v>5</v>
      </c>
      <c r="Q21" s="120" t="s">
        <v>5</v>
      </c>
      <c r="R21" s="219" t="s">
        <v>5</v>
      </c>
      <c r="S21" s="180" t="s">
        <v>5</v>
      </c>
      <c r="T21" s="192" t="s">
        <v>24</v>
      </c>
      <c r="U21" s="54" t="s">
        <v>5</v>
      </c>
      <c r="V21" s="343" t="s">
        <v>5</v>
      </c>
      <c r="W21" s="4" t="str">
        <f t="shared" si="0"/>
        <v/>
      </c>
    </row>
    <row r="22" spans="1:23" ht="15" customHeight="1">
      <c r="A22" s="235" t="s">
        <v>68</v>
      </c>
      <c r="B22" s="350">
        <v>2</v>
      </c>
      <c r="C22" s="332" t="s">
        <v>8</v>
      </c>
      <c r="D22" s="352" t="s">
        <v>5</v>
      </c>
      <c r="E22" s="127">
        <v>8</v>
      </c>
      <c r="F22" s="114" t="s">
        <v>5</v>
      </c>
      <c r="G22" s="115" t="s">
        <v>5</v>
      </c>
      <c r="H22" s="120" t="s">
        <v>5</v>
      </c>
      <c r="I22" s="219" t="s">
        <v>5</v>
      </c>
      <c r="J22" s="180" t="s">
        <v>5</v>
      </c>
      <c r="K22" s="120" t="s">
        <v>5</v>
      </c>
      <c r="L22" s="219" t="s">
        <v>5</v>
      </c>
      <c r="M22" s="180" t="s">
        <v>5</v>
      </c>
      <c r="N22" s="120" t="s">
        <v>5</v>
      </c>
      <c r="O22" s="219" t="s">
        <v>5</v>
      </c>
      <c r="P22" s="180" t="s">
        <v>5</v>
      </c>
      <c r="Q22" s="120" t="s">
        <v>5</v>
      </c>
      <c r="R22" s="219" t="s">
        <v>5</v>
      </c>
      <c r="S22" s="180" t="s">
        <v>5</v>
      </c>
      <c r="T22" s="203" t="s">
        <v>5</v>
      </c>
      <c r="U22" s="19" t="s">
        <v>6</v>
      </c>
      <c r="V22" s="340">
        <v>100</v>
      </c>
      <c r="W22" s="4" t="str">
        <f t="shared" si="0"/>
        <v>A</v>
      </c>
    </row>
    <row r="23" spans="1:23" ht="15" customHeight="1">
      <c r="A23" s="235" t="s">
        <v>93</v>
      </c>
      <c r="B23" s="350">
        <v>1</v>
      </c>
      <c r="C23" s="333" t="s">
        <v>8</v>
      </c>
      <c r="D23" s="326" t="s">
        <v>5</v>
      </c>
      <c r="E23" s="127">
        <f>0.04*100</f>
        <v>4</v>
      </c>
      <c r="F23" s="182">
        <v>26000</v>
      </c>
      <c r="G23" s="183">
        <v>75036</v>
      </c>
      <c r="H23" s="127">
        <f>0.05*100</f>
        <v>5</v>
      </c>
      <c r="I23" s="182">
        <f>G23</f>
        <v>75036</v>
      </c>
      <c r="J23" s="361" t="s">
        <v>5</v>
      </c>
      <c r="K23" s="187" t="s">
        <v>5</v>
      </c>
      <c r="L23" s="362" t="s">
        <v>5</v>
      </c>
      <c r="M23" s="361" t="s">
        <v>5</v>
      </c>
      <c r="N23" s="187" t="s">
        <v>5</v>
      </c>
      <c r="O23" s="362" t="s">
        <v>5</v>
      </c>
      <c r="P23" s="361" t="s">
        <v>5</v>
      </c>
      <c r="Q23" s="187" t="s">
        <v>5</v>
      </c>
      <c r="R23" s="362" t="s">
        <v>5</v>
      </c>
      <c r="S23" s="361" t="s">
        <v>5</v>
      </c>
      <c r="T23" s="203" t="s">
        <v>5</v>
      </c>
      <c r="U23" s="54" t="s">
        <v>5</v>
      </c>
      <c r="V23" s="343" t="s">
        <v>5</v>
      </c>
      <c r="W23" s="4" t="str">
        <f t="shared" si="0"/>
        <v/>
      </c>
    </row>
    <row r="24" spans="1:23" ht="15" customHeight="1">
      <c r="A24" s="235" t="s">
        <v>93</v>
      </c>
      <c r="B24" s="350">
        <v>2</v>
      </c>
      <c r="C24" s="333" t="s">
        <v>8</v>
      </c>
      <c r="D24" s="326" t="s">
        <v>5</v>
      </c>
      <c r="E24" s="127">
        <f>0.04*100</f>
        <v>4</v>
      </c>
      <c r="F24" s="315" t="s">
        <v>77</v>
      </c>
      <c r="G24" s="183">
        <v>67357</v>
      </c>
      <c r="H24" s="187" t="s">
        <v>5</v>
      </c>
      <c r="I24" s="362" t="s">
        <v>5</v>
      </c>
      <c r="J24" s="361" t="s">
        <v>5</v>
      </c>
      <c r="K24" s="187" t="s">
        <v>5</v>
      </c>
      <c r="L24" s="362" t="s">
        <v>5</v>
      </c>
      <c r="M24" s="361" t="s">
        <v>5</v>
      </c>
      <c r="N24" s="187" t="s">
        <v>5</v>
      </c>
      <c r="O24" s="362" t="s">
        <v>5</v>
      </c>
      <c r="P24" s="361" t="s">
        <v>5</v>
      </c>
      <c r="Q24" s="187" t="s">
        <v>5</v>
      </c>
      <c r="R24" s="362" t="s">
        <v>5</v>
      </c>
      <c r="S24" s="361" t="s">
        <v>5</v>
      </c>
      <c r="T24" s="203">
        <f>E24*G24/100</f>
        <v>2694.28</v>
      </c>
      <c r="U24" s="54" t="s">
        <v>5</v>
      </c>
      <c r="V24" s="343" t="s">
        <v>5</v>
      </c>
      <c r="W24" s="4" t="str">
        <f t="shared" si="0"/>
        <v/>
      </c>
    </row>
    <row r="25" spans="1:23" ht="15" customHeight="1">
      <c r="A25" s="235" t="s">
        <v>69</v>
      </c>
      <c r="B25" s="350">
        <v>1</v>
      </c>
      <c r="C25" s="333" t="s">
        <v>7</v>
      </c>
      <c r="D25" s="254" t="s">
        <v>5</v>
      </c>
      <c r="E25" s="127">
        <f>0.0385*100</f>
        <v>3.85</v>
      </c>
      <c r="F25" s="114">
        <v>0</v>
      </c>
      <c r="G25" s="183">
        <f>57708/12</f>
        <v>4809</v>
      </c>
      <c r="H25" s="127">
        <f>0.12*100</f>
        <v>12</v>
      </c>
      <c r="I25" s="182">
        <f>G25</f>
        <v>4809</v>
      </c>
      <c r="J25" s="183">
        <f>957000/12</f>
        <v>79750</v>
      </c>
      <c r="K25" s="187" t="s">
        <v>5</v>
      </c>
      <c r="L25" s="362" t="s">
        <v>5</v>
      </c>
      <c r="M25" s="361" t="s">
        <v>5</v>
      </c>
      <c r="N25" s="187" t="s">
        <v>5</v>
      </c>
      <c r="O25" s="362" t="s">
        <v>5</v>
      </c>
      <c r="P25" s="361" t="s">
        <v>5</v>
      </c>
      <c r="Q25" s="187" t="s">
        <v>5</v>
      </c>
      <c r="R25" s="362" t="s">
        <v>5</v>
      </c>
      <c r="S25" s="361" t="s">
        <v>5</v>
      </c>
      <c r="T25" s="192">
        <f>+E25/100*G25+H25/100*(J25-I25)</f>
        <v>9178.0665000000008</v>
      </c>
      <c r="U25" s="67" t="s">
        <v>5</v>
      </c>
      <c r="V25" s="341" t="s">
        <v>5</v>
      </c>
      <c r="W25" s="4" t="str">
        <f t="shared" si="0"/>
        <v/>
      </c>
    </row>
    <row r="26" spans="1:23" ht="15" customHeight="1">
      <c r="A26" s="235" t="s">
        <v>13</v>
      </c>
      <c r="B26" s="350">
        <v>1</v>
      </c>
      <c r="C26" s="333" t="s">
        <v>8</v>
      </c>
      <c r="D26" s="254" t="s">
        <v>5</v>
      </c>
      <c r="E26" s="127">
        <f>0.0949*100</f>
        <v>9.49</v>
      </c>
      <c r="F26" s="114">
        <v>0</v>
      </c>
      <c r="G26" s="183">
        <v>42364</v>
      </c>
      <c r="H26" s="127">
        <f>0.1049*100</f>
        <v>10.489999999999998</v>
      </c>
      <c r="I26" s="182">
        <f>G26</f>
        <v>42364</v>
      </c>
      <c r="J26" s="183">
        <v>92147</v>
      </c>
      <c r="K26" s="187" t="s">
        <v>5</v>
      </c>
      <c r="L26" s="362" t="s">
        <v>5</v>
      </c>
      <c r="M26" s="361" t="s">
        <v>5</v>
      </c>
      <c r="N26" s="187" t="s">
        <v>5</v>
      </c>
      <c r="O26" s="362" t="s">
        <v>5</v>
      </c>
      <c r="P26" s="361" t="s">
        <v>5</v>
      </c>
      <c r="Q26" s="187" t="s">
        <v>5</v>
      </c>
      <c r="R26" s="362" t="s">
        <v>5</v>
      </c>
      <c r="S26" s="361" t="s">
        <v>5</v>
      </c>
      <c r="T26" s="192">
        <f>((E26/100)*G26)+(H26/100)*(J26-I26)</f>
        <v>9242.5802999999978</v>
      </c>
      <c r="U26" s="279" t="s">
        <v>6</v>
      </c>
      <c r="V26" s="343">
        <v>100</v>
      </c>
      <c r="W26" s="4" t="str">
        <f t="shared" si="0"/>
        <v>A</v>
      </c>
    </row>
    <row r="27" spans="1:23" s="2" customFormat="1" ht="15" customHeight="1">
      <c r="A27" s="235" t="s">
        <v>14</v>
      </c>
      <c r="B27" s="350">
        <v>1</v>
      </c>
      <c r="C27" s="333" t="s">
        <v>7</v>
      </c>
      <c r="D27" s="329" t="s">
        <v>5</v>
      </c>
      <c r="E27" s="127">
        <f>0.07911*100+H27</f>
        <v>12.988499999999998</v>
      </c>
      <c r="F27" s="114">
        <v>0</v>
      </c>
      <c r="G27" s="183">
        <f>7440000/12</f>
        <v>620000</v>
      </c>
      <c r="H27" s="127">
        <f>0.045275*100+K27</f>
        <v>5.0774999999999997</v>
      </c>
      <c r="I27" s="182">
        <f>G27</f>
        <v>620000</v>
      </c>
      <c r="J27" s="183">
        <f>14520000/12</f>
        <v>1210000</v>
      </c>
      <c r="K27" s="127">
        <f>0.0055*100</f>
        <v>0.54999999999999993</v>
      </c>
      <c r="L27" s="182">
        <f>J27</f>
        <v>1210000</v>
      </c>
      <c r="M27" s="180" t="s">
        <v>5</v>
      </c>
      <c r="N27" s="187" t="s">
        <v>5</v>
      </c>
      <c r="O27" s="362" t="s">
        <v>5</v>
      </c>
      <c r="P27" s="361" t="s">
        <v>5</v>
      </c>
      <c r="Q27" s="187" t="s">
        <v>5</v>
      </c>
      <c r="R27" s="362" t="s">
        <v>5</v>
      </c>
      <c r="S27" s="361" t="s">
        <v>5</v>
      </c>
      <c r="T27" s="192" t="s">
        <v>5</v>
      </c>
      <c r="U27" s="19" t="s">
        <v>6</v>
      </c>
      <c r="V27" s="340">
        <v>100</v>
      </c>
      <c r="W27" s="4" t="str">
        <f t="shared" si="0"/>
        <v>A</v>
      </c>
    </row>
    <row r="28" spans="1:23" s="2" customFormat="1" ht="15" customHeight="1">
      <c r="A28" s="235" t="s">
        <v>15</v>
      </c>
      <c r="B28" s="350">
        <v>1</v>
      </c>
      <c r="C28" s="332" t="s">
        <v>7</v>
      </c>
      <c r="D28" s="254" t="s">
        <v>5</v>
      </c>
      <c r="E28" s="127">
        <f>(0.045*100)+H28</f>
        <v>7.7889999999999997</v>
      </c>
      <c r="F28" s="114">
        <v>0</v>
      </c>
      <c r="G28" s="183">
        <f>(1944000/0.045)/12</f>
        <v>3600000</v>
      </c>
      <c r="H28" s="127">
        <f>(0.02839*100)+K28</f>
        <v>3.2889999999999997</v>
      </c>
      <c r="I28" s="114">
        <f>G28</f>
        <v>3600000</v>
      </c>
      <c r="J28" s="183">
        <f>(22413337/0.02839)/12</f>
        <v>65789999.412938833</v>
      </c>
      <c r="K28" s="3">
        <f>0.0045*100</f>
        <v>0.44999999999999996</v>
      </c>
      <c r="L28" s="114">
        <f>J28</f>
        <v>65789999.412938833</v>
      </c>
      <c r="M28" s="361" t="s">
        <v>5</v>
      </c>
      <c r="N28" s="187" t="s">
        <v>5</v>
      </c>
      <c r="O28" s="362" t="s">
        <v>5</v>
      </c>
      <c r="P28" s="361" t="s">
        <v>5</v>
      </c>
      <c r="Q28" s="187" t="s">
        <v>5</v>
      </c>
      <c r="R28" s="362" t="s">
        <v>5</v>
      </c>
      <c r="S28" s="361" t="s">
        <v>5</v>
      </c>
      <c r="T28" s="199" t="s">
        <v>5</v>
      </c>
      <c r="U28" s="19" t="s">
        <v>6</v>
      </c>
      <c r="V28" s="340">
        <v>100</v>
      </c>
      <c r="W28" s="4" t="str">
        <f t="shared" si="0"/>
        <v>A</v>
      </c>
    </row>
    <row r="29" spans="1:23" s="40" customFormat="1">
      <c r="A29" s="513" t="s">
        <v>282</v>
      </c>
      <c r="B29" s="500">
        <v>1</v>
      </c>
      <c r="C29" s="30" t="s">
        <v>8</v>
      </c>
      <c r="D29" s="502" t="s">
        <v>5</v>
      </c>
      <c r="E29" s="503">
        <v>9</v>
      </c>
      <c r="F29" s="400" t="s">
        <v>5</v>
      </c>
      <c r="G29" s="396" t="s">
        <v>5</v>
      </c>
      <c r="H29" s="501"/>
      <c r="I29" s="504"/>
      <c r="J29" s="505"/>
      <c r="K29" s="501"/>
      <c r="L29" s="504"/>
      <c r="M29" s="505"/>
      <c r="N29" s="506"/>
      <c r="O29" s="504"/>
      <c r="P29" s="505"/>
      <c r="Q29" s="506"/>
      <c r="R29" s="504"/>
      <c r="S29" s="505"/>
      <c r="T29" s="507"/>
      <c r="U29" s="62" t="s">
        <v>6</v>
      </c>
      <c r="V29" s="375">
        <v>100</v>
      </c>
      <c r="W29" s="30" t="str">
        <f t="shared" si="0"/>
        <v>A</v>
      </c>
    </row>
    <row r="30" spans="1:23" ht="15" customHeight="1">
      <c r="A30" s="235" t="s">
        <v>70</v>
      </c>
      <c r="B30" s="350">
        <v>1</v>
      </c>
      <c r="C30" s="333" t="s">
        <v>8</v>
      </c>
      <c r="D30" s="254" t="s">
        <v>5</v>
      </c>
      <c r="E30" s="127">
        <f>0.1095*100</f>
        <v>10.95</v>
      </c>
      <c r="F30" s="114">
        <v>0</v>
      </c>
      <c r="G30" s="115">
        <v>102227.65</v>
      </c>
      <c r="H30" s="120" t="s">
        <v>5</v>
      </c>
      <c r="I30" s="219" t="s">
        <v>5</v>
      </c>
      <c r="J30" s="180" t="s">
        <v>5</v>
      </c>
      <c r="K30" s="120" t="s">
        <v>5</v>
      </c>
      <c r="L30" s="219" t="s">
        <v>5</v>
      </c>
      <c r="M30" s="180" t="s">
        <v>5</v>
      </c>
      <c r="N30" s="120" t="s">
        <v>5</v>
      </c>
      <c r="O30" s="219" t="s">
        <v>5</v>
      </c>
      <c r="P30" s="180" t="s">
        <v>5</v>
      </c>
      <c r="Q30" s="120" t="s">
        <v>5</v>
      </c>
      <c r="R30" s="219" t="s">
        <v>5</v>
      </c>
      <c r="S30" s="180" t="s">
        <v>5</v>
      </c>
      <c r="T30" s="196">
        <f>+G30*E30/100</f>
        <v>11193.927674999999</v>
      </c>
      <c r="U30" s="28" t="s">
        <v>6</v>
      </c>
      <c r="V30" s="342">
        <v>100</v>
      </c>
      <c r="W30" s="4" t="str">
        <f t="shared" si="0"/>
        <v>A</v>
      </c>
    </row>
    <row r="31" spans="1:23" ht="15" customHeight="1">
      <c r="A31" s="235" t="s">
        <v>70</v>
      </c>
      <c r="B31" s="350">
        <v>2</v>
      </c>
      <c r="C31" s="333" t="s">
        <v>8</v>
      </c>
      <c r="D31" s="327" t="s">
        <v>5</v>
      </c>
      <c r="E31" s="127">
        <f>0.014*100</f>
        <v>1.4000000000000001</v>
      </c>
      <c r="F31" s="114">
        <f>0.25*20445.53</f>
        <v>5111.3824999999997</v>
      </c>
      <c r="G31" s="115" t="s">
        <v>29</v>
      </c>
      <c r="H31" s="120" t="s">
        <v>5</v>
      </c>
      <c r="I31" s="219" t="s">
        <v>5</v>
      </c>
      <c r="J31" s="180" t="s">
        <v>5</v>
      </c>
      <c r="K31" s="120" t="s">
        <v>5</v>
      </c>
      <c r="L31" s="219" t="s">
        <v>5</v>
      </c>
      <c r="M31" s="180" t="s">
        <v>5</v>
      </c>
      <c r="N31" s="120" t="s">
        <v>5</v>
      </c>
      <c r="O31" s="219" t="s">
        <v>5</v>
      </c>
      <c r="P31" s="180" t="s">
        <v>5</v>
      </c>
      <c r="Q31" s="120" t="s">
        <v>5</v>
      </c>
      <c r="R31" s="219" t="s">
        <v>5</v>
      </c>
      <c r="S31" s="180" t="s">
        <v>5</v>
      </c>
      <c r="T31" s="196" t="s">
        <v>5</v>
      </c>
      <c r="U31" s="7" t="s">
        <v>5</v>
      </c>
      <c r="V31" s="344" t="s">
        <v>5</v>
      </c>
      <c r="W31" s="4" t="str">
        <f t="shared" si="0"/>
        <v/>
      </c>
    </row>
    <row r="32" spans="1:23" s="2" customFormat="1" ht="15" customHeight="1">
      <c r="A32" s="235" t="s">
        <v>71</v>
      </c>
      <c r="B32" s="350">
        <v>1</v>
      </c>
      <c r="C32" s="333" t="s">
        <v>7</v>
      </c>
      <c r="D32" s="329" t="s">
        <v>5</v>
      </c>
      <c r="E32" s="127">
        <f>0.625+0.625</f>
        <v>1.25</v>
      </c>
      <c r="F32" s="114">
        <v>0</v>
      </c>
      <c r="G32" s="318">
        <f>3*57.46*(365/12)</f>
        <v>5243.2250000000004</v>
      </c>
      <c r="H32" s="127">
        <f>E32+0.4</f>
        <v>1.65</v>
      </c>
      <c r="I32" s="315">
        <f>G32</f>
        <v>5243.2250000000004</v>
      </c>
      <c r="J32" s="318">
        <f>25*57.46*(365/12)</f>
        <v>43693.541666666672</v>
      </c>
      <c r="K32" s="174" t="s">
        <v>5</v>
      </c>
      <c r="L32" s="475" t="s">
        <v>5</v>
      </c>
      <c r="M32" s="226" t="s">
        <v>5</v>
      </c>
      <c r="N32" s="174" t="s">
        <v>5</v>
      </c>
      <c r="O32" s="475" t="s">
        <v>5</v>
      </c>
      <c r="P32" s="226" t="s">
        <v>5</v>
      </c>
      <c r="Q32" s="174" t="s">
        <v>5</v>
      </c>
      <c r="R32" s="475" t="s">
        <v>5</v>
      </c>
      <c r="S32" s="226" t="s">
        <v>5</v>
      </c>
      <c r="T32" s="196">
        <f>E32/100*G32+H32/100*(J32-I32)</f>
        <v>699.97053750000021</v>
      </c>
      <c r="U32" s="335" t="s">
        <v>5</v>
      </c>
      <c r="V32" s="343" t="s">
        <v>5</v>
      </c>
      <c r="W32" s="4" t="str">
        <f t="shared" si="0"/>
        <v/>
      </c>
    </row>
    <row r="33" spans="1:23" ht="15" customHeight="1">
      <c r="A33" s="235" t="s">
        <v>60</v>
      </c>
      <c r="B33" s="350">
        <v>1</v>
      </c>
      <c r="C33" s="332" t="s">
        <v>6</v>
      </c>
      <c r="D33" s="259" t="s">
        <v>5</v>
      </c>
      <c r="E33" s="119">
        <f>(0.179+0.011+0.1215)*100</f>
        <v>31.15</v>
      </c>
      <c r="F33" s="114">
        <v>0</v>
      </c>
      <c r="G33" s="115">
        <v>32738</v>
      </c>
      <c r="H33" s="120" t="s">
        <v>5</v>
      </c>
      <c r="I33" s="219" t="s">
        <v>5</v>
      </c>
      <c r="J33" s="180" t="s">
        <v>5</v>
      </c>
      <c r="K33" s="120" t="s">
        <v>5</v>
      </c>
      <c r="L33" s="219" t="s">
        <v>5</v>
      </c>
      <c r="M33" s="180" t="s">
        <v>5</v>
      </c>
      <c r="N33" s="120" t="s">
        <v>5</v>
      </c>
      <c r="O33" s="219" t="s">
        <v>5</v>
      </c>
      <c r="P33" s="180" t="s">
        <v>5</v>
      </c>
      <c r="Q33" s="120" t="s">
        <v>5</v>
      </c>
      <c r="R33" s="219" t="s">
        <v>5</v>
      </c>
      <c r="S33" s="180" t="s">
        <v>5</v>
      </c>
      <c r="T33" s="196">
        <f>(G33-F33)*E33/100</f>
        <v>10197.886999999999</v>
      </c>
      <c r="U33" s="28" t="s">
        <v>6</v>
      </c>
      <c r="V33" s="342">
        <v>100</v>
      </c>
      <c r="W33" s="4" t="str">
        <f t="shared" si="0"/>
        <v>A</v>
      </c>
    </row>
    <row r="34" spans="1:23" ht="15" customHeight="1">
      <c r="A34" s="244" t="s">
        <v>42</v>
      </c>
      <c r="B34" s="353">
        <v>0</v>
      </c>
      <c r="C34" s="268" t="s">
        <v>250</v>
      </c>
      <c r="D34" s="261" t="s">
        <v>5</v>
      </c>
      <c r="E34" s="141" t="s">
        <v>5</v>
      </c>
      <c r="F34" s="222" t="s">
        <v>5</v>
      </c>
      <c r="G34" s="223" t="s">
        <v>5</v>
      </c>
      <c r="H34" s="120" t="s">
        <v>5</v>
      </c>
      <c r="I34" s="219" t="s">
        <v>5</v>
      </c>
      <c r="J34" s="180" t="s">
        <v>5</v>
      </c>
      <c r="K34" s="120" t="s">
        <v>5</v>
      </c>
      <c r="L34" s="219" t="s">
        <v>5</v>
      </c>
      <c r="M34" s="180" t="s">
        <v>5</v>
      </c>
      <c r="N34" s="120" t="s">
        <v>5</v>
      </c>
      <c r="O34" s="219" t="s">
        <v>5</v>
      </c>
      <c r="P34" s="180" t="s">
        <v>5</v>
      </c>
      <c r="Q34" s="120" t="s">
        <v>5</v>
      </c>
      <c r="R34" s="219" t="s">
        <v>5</v>
      </c>
      <c r="S34" s="180" t="s">
        <v>5</v>
      </c>
      <c r="T34" s="201" t="s">
        <v>5</v>
      </c>
      <c r="U34" s="111" t="s">
        <v>5</v>
      </c>
      <c r="V34" s="345" t="s">
        <v>5</v>
      </c>
      <c r="W34" s="4" t="str">
        <f t="shared" si="0"/>
        <v/>
      </c>
    </row>
    <row r="35" spans="1:23" ht="15" customHeight="1">
      <c r="A35" s="235" t="s">
        <v>64</v>
      </c>
      <c r="B35" s="350">
        <v>1</v>
      </c>
      <c r="C35" s="333" t="s">
        <v>8</v>
      </c>
      <c r="D35" s="326" t="s">
        <v>5</v>
      </c>
      <c r="E35" s="127">
        <f>0.078*100</f>
        <v>7.8</v>
      </c>
      <c r="F35" s="114" t="s">
        <v>65</v>
      </c>
      <c r="G35" s="115" t="s">
        <v>5</v>
      </c>
      <c r="H35" s="120" t="s">
        <v>5</v>
      </c>
      <c r="I35" s="219" t="s">
        <v>5</v>
      </c>
      <c r="J35" s="180" t="s">
        <v>5</v>
      </c>
      <c r="K35" s="120" t="s">
        <v>5</v>
      </c>
      <c r="L35" s="219" t="s">
        <v>5</v>
      </c>
      <c r="M35" s="180" t="s">
        <v>5</v>
      </c>
      <c r="N35" s="120" t="s">
        <v>5</v>
      </c>
      <c r="O35" s="219" t="s">
        <v>5</v>
      </c>
      <c r="P35" s="180" t="s">
        <v>5</v>
      </c>
      <c r="Q35" s="120" t="s">
        <v>5</v>
      </c>
      <c r="R35" s="219" t="s">
        <v>5</v>
      </c>
      <c r="S35" s="180" t="s">
        <v>5</v>
      </c>
      <c r="T35" s="202" t="s">
        <v>5</v>
      </c>
      <c r="U35" s="54" t="s">
        <v>5</v>
      </c>
      <c r="V35" s="343" t="s">
        <v>5</v>
      </c>
      <c r="W35" s="4" t="str">
        <f t="shared" si="0"/>
        <v/>
      </c>
    </row>
    <row r="36" spans="1:23" ht="15" customHeight="1">
      <c r="A36" s="235" t="s">
        <v>72</v>
      </c>
      <c r="B36" s="350">
        <v>1</v>
      </c>
      <c r="C36" s="333" t="s">
        <v>8</v>
      </c>
      <c r="D36" s="254" t="s">
        <v>5</v>
      </c>
      <c r="E36" s="127">
        <f>(0.061098+0.015)*100</f>
        <v>7.6097999999999999</v>
      </c>
      <c r="F36" s="114">
        <v>0</v>
      </c>
      <c r="G36" s="318">
        <v>94380</v>
      </c>
      <c r="H36" s="127">
        <f>0.0245*100</f>
        <v>2.4500000000000002</v>
      </c>
      <c r="I36" s="315">
        <f>G36</f>
        <v>94380</v>
      </c>
      <c r="J36" s="226" t="s">
        <v>5</v>
      </c>
      <c r="K36" s="174" t="s">
        <v>5</v>
      </c>
      <c r="L36" s="475" t="s">
        <v>5</v>
      </c>
      <c r="M36" s="226" t="s">
        <v>5</v>
      </c>
      <c r="N36" s="174" t="s">
        <v>5</v>
      </c>
      <c r="O36" s="475" t="s">
        <v>5</v>
      </c>
      <c r="P36" s="226" t="s">
        <v>5</v>
      </c>
      <c r="Q36" s="174" t="s">
        <v>5</v>
      </c>
      <c r="R36" s="475" t="s">
        <v>5</v>
      </c>
      <c r="S36" s="226" t="s">
        <v>5</v>
      </c>
      <c r="T36" s="199" t="s">
        <v>5</v>
      </c>
      <c r="U36" s="19" t="s">
        <v>6</v>
      </c>
      <c r="V36" s="340">
        <v>100</v>
      </c>
      <c r="W36" s="4" t="str">
        <f t="shared" si="0"/>
        <v>A</v>
      </c>
    </row>
    <row r="37" spans="1:23" ht="15" customHeight="1">
      <c r="A37" s="235" t="s">
        <v>72</v>
      </c>
      <c r="B37" s="350">
        <v>2</v>
      </c>
      <c r="C37" s="333" t="s">
        <v>8</v>
      </c>
      <c r="D37" s="254" t="s">
        <v>5</v>
      </c>
      <c r="E37" s="127">
        <f>0.09*100</f>
        <v>9</v>
      </c>
      <c r="F37" s="319" t="s">
        <v>5</v>
      </c>
      <c r="G37" s="320" t="s">
        <v>5</v>
      </c>
      <c r="H37" s="163" t="s">
        <v>5</v>
      </c>
      <c r="I37" s="395" t="s">
        <v>5</v>
      </c>
      <c r="J37" s="472" t="s">
        <v>5</v>
      </c>
      <c r="K37" s="163" t="s">
        <v>5</v>
      </c>
      <c r="L37" s="395" t="s">
        <v>5</v>
      </c>
      <c r="M37" s="472" t="s">
        <v>5</v>
      </c>
      <c r="N37" s="163" t="s">
        <v>5</v>
      </c>
      <c r="O37" s="395" t="s">
        <v>5</v>
      </c>
      <c r="P37" s="472" t="s">
        <v>5</v>
      </c>
      <c r="Q37" s="163" t="s">
        <v>5</v>
      </c>
      <c r="R37" s="395" t="s">
        <v>5</v>
      </c>
      <c r="S37" s="472" t="s">
        <v>5</v>
      </c>
      <c r="T37" s="199" t="s">
        <v>5</v>
      </c>
      <c r="U37" s="19" t="s">
        <v>6</v>
      </c>
      <c r="V37" s="340">
        <v>100</v>
      </c>
      <c r="W37" s="4" t="str">
        <f t="shared" si="0"/>
        <v>A</v>
      </c>
    </row>
    <row r="38" spans="1:23" ht="15" customHeight="1">
      <c r="A38" s="235" t="s">
        <v>17</v>
      </c>
      <c r="B38" s="350">
        <v>1</v>
      </c>
      <c r="C38" s="333" t="s">
        <v>7</v>
      </c>
      <c r="D38" s="326" t="s">
        <v>5</v>
      </c>
      <c r="E38" s="127">
        <f>0.11*100</f>
        <v>11</v>
      </c>
      <c r="F38" s="319" t="s">
        <v>5</v>
      </c>
      <c r="G38" s="320" t="s">
        <v>5</v>
      </c>
      <c r="H38" s="163" t="s">
        <v>5</v>
      </c>
      <c r="I38" s="395" t="s">
        <v>5</v>
      </c>
      <c r="J38" s="472" t="s">
        <v>5</v>
      </c>
      <c r="K38" s="163" t="s">
        <v>5</v>
      </c>
      <c r="L38" s="395" t="s">
        <v>5</v>
      </c>
      <c r="M38" s="472" t="s">
        <v>5</v>
      </c>
      <c r="N38" s="163" t="s">
        <v>5</v>
      </c>
      <c r="O38" s="395" t="s">
        <v>5</v>
      </c>
      <c r="P38" s="472" t="s">
        <v>5</v>
      </c>
      <c r="Q38" s="163" t="s">
        <v>5</v>
      </c>
      <c r="R38" s="395" t="s">
        <v>5</v>
      </c>
      <c r="S38" s="472" t="s">
        <v>5</v>
      </c>
      <c r="T38" s="202" t="s">
        <v>5</v>
      </c>
      <c r="U38" s="19" t="s">
        <v>6</v>
      </c>
      <c r="V38" s="340">
        <v>100</v>
      </c>
      <c r="W38" s="4" t="str">
        <f t="shared" si="0"/>
        <v>A</v>
      </c>
    </row>
    <row r="39" spans="1:23" ht="15" customHeight="1">
      <c r="A39" s="235" t="s">
        <v>51</v>
      </c>
      <c r="B39" s="350">
        <v>1</v>
      </c>
      <c r="C39" s="333" t="s">
        <v>7</v>
      </c>
      <c r="D39" s="327" t="s">
        <v>5</v>
      </c>
      <c r="E39" s="127">
        <f>(0.014+0.04+0.08)*100</f>
        <v>13.4</v>
      </c>
      <c r="F39" s="114" t="str">
        <f>"["&amp;ROUND(307.7,1)&amp;"]"</f>
        <v>[307.7]</v>
      </c>
      <c r="G39" s="115">
        <f>13207.8/12</f>
        <v>1100.6499999999999</v>
      </c>
      <c r="H39" s="498">
        <f>(0.04+0.08)*100</f>
        <v>12</v>
      </c>
      <c r="I39" s="219">
        <f>G39</f>
        <v>1100.6499999999999</v>
      </c>
      <c r="J39" s="180">
        <f>26029.08/12</f>
        <v>2169.09</v>
      </c>
      <c r="K39" s="498">
        <f>0.08*100</f>
        <v>8</v>
      </c>
      <c r="L39" s="219">
        <f>J39</f>
        <v>2169.09</v>
      </c>
      <c r="M39" s="180">
        <f>35220.72/12</f>
        <v>2935.06</v>
      </c>
      <c r="N39" s="120" t="s">
        <v>5</v>
      </c>
      <c r="O39" s="219" t="s">
        <v>5</v>
      </c>
      <c r="P39" s="180" t="s">
        <v>5</v>
      </c>
      <c r="Q39" s="120" t="s">
        <v>5</v>
      </c>
      <c r="R39" s="219" t="s">
        <v>5</v>
      </c>
      <c r="S39" s="180" t="s">
        <v>5</v>
      </c>
      <c r="T39" s="202" t="s">
        <v>5</v>
      </c>
      <c r="U39" s="28" t="s">
        <v>6</v>
      </c>
      <c r="V39" s="342">
        <v>100</v>
      </c>
      <c r="W39" s="4" t="str">
        <f t="shared" si="0"/>
        <v>A</v>
      </c>
    </row>
    <row r="40" spans="1:23" ht="15" customHeight="1">
      <c r="A40" s="235" t="s">
        <v>59</v>
      </c>
      <c r="B40" s="350">
        <v>1</v>
      </c>
      <c r="C40" s="333" t="s">
        <v>7</v>
      </c>
      <c r="D40" s="326" t="s">
        <v>5</v>
      </c>
      <c r="E40" s="127">
        <f>0.221*100</f>
        <v>22.1</v>
      </c>
      <c r="F40" s="319" t="s">
        <v>5</v>
      </c>
      <c r="G40" s="320" t="s">
        <v>5</v>
      </c>
      <c r="H40" s="163" t="s">
        <v>5</v>
      </c>
      <c r="I40" s="395" t="s">
        <v>5</v>
      </c>
      <c r="J40" s="472" t="s">
        <v>5</v>
      </c>
      <c r="K40" s="163" t="s">
        <v>5</v>
      </c>
      <c r="L40" s="395" t="s">
        <v>5</v>
      </c>
      <c r="M40" s="472" t="s">
        <v>5</v>
      </c>
      <c r="N40" s="163" t="s">
        <v>5</v>
      </c>
      <c r="O40" s="395" t="s">
        <v>5</v>
      </c>
      <c r="P40" s="472" t="s">
        <v>5</v>
      </c>
      <c r="Q40" s="163" t="s">
        <v>5</v>
      </c>
      <c r="R40" s="395" t="s">
        <v>5</v>
      </c>
      <c r="S40" s="472" t="s">
        <v>5</v>
      </c>
      <c r="T40" s="199" t="s">
        <v>5</v>
      </c>
      <c r="U40" s="19" t="s">
        <v>6</v>
      </c>
      <c r="V40" s="340">
        <v>100</v>
      </c>
      <c r="W40" s="4" t="str">
        <f t="shared" si="0"/>
        <v>A</v>
      </c>
    </row>
    <row r="41" spans="1:23" ht="15" customHeight="1">
      <c r="A41" s="235" t="s">
        <v>213</v>
      </c>
      <c r="B41" s="350">
        <v>1</v>
      </c>
      <c r="C41" s="333" t="s">
        <v>8</v>
      </c>
      <c r="D41" s="326" t="s">
        <v>5</v>
      </c>
      <c r="E41" s="127">
        <f>(0.047+0.0155+0.001)*100</f>
        <v>6.35</v>
      </c>
      <c r="F41" s="114" t="s">
        <v>62</v>
      </c>
      <c r="G41" s="115">
        <v>38376</v>
      </c>
      <c r="H41" s="120" t="s">
        <v>5</v>
      </c>
      <c r="I41" s="219" t="s">
        <v>5</v>
      </c>
      <c r="J41" s="180" t="s">
        <v>5</v>
      </c>
      <c r="K41" s="120" t="s">
        <v>5</v>
      </c>
      <c r="L41" s="219" t="s">
        <v>5</v>
      </c>
      <c r="M41" s="180" t="s">
        <v>5</v>
      </c>
      <c r="N41" s="120" t="s">
        <v>5</v>
      </c>
      <c r="O41" s="219" t="s">
        <v>5</v>
      </c>
      <c r="P41" s="180" t="s">
        <v>5</v>
      </c>
      <c r="Q41" s="120" t="s">
        <v>5</v>
      </c>
      <c r="R41" s="219" t="s">
        <v>5</v>
      </c>
      <c r="S41" s="180" t="s">
        <v>5</v>
      </c>
      <c r="T41" s="196">
        <f>G41*(E41/100)</f>
        <v>2436.8760000000002</v>
      </c>
      <c r="U41" s="19" t="s">
        <v>6</v>
      </c>
      <c r="V41" s="340">
        <v>100</v>
      </c>
      <c r="W41" s="4" t="str">
        <f t="shared" si="0"/>
        <v>A</v>
      </c>
    </row>
    <row r="42" spans="1:23" ht="15" customHeight="1">
      <c r="A42" s="339" t="s">
        <v>73</v>
      </c>
      <c r="B42" s="350">
        <v>1</v>
      </c>
      <c r="C42" s="333" t="s">
        <v>8</v>
      </c>
      <c r="D42" s="254" t="s">
        <v>5</v>
      </c>
      <c r="E42" s="127">
        <f>0.07*100</f>
        <v>7.0000000000000009</v>
      </c>
      <c r="F42" s="114" t="str">
        <f>"["&amp;0.423*42400&amp;"]"</f>
        <v>[17935.2]</v>
      </c>
      <c r="G42" s="115">
        <f>8.07*51100</f>
        <v>412377</v>
      </c>
      <c r="H42" s="120" t="s">
        <v>5</v>
      </c>
      <c r="I42" s="219" t="s">
        <v>5</v>
      </c>
      <c r="J42" s="180" t="s">
        <v>5</v>
      </c>
      <c r="K42" s="120" t="s">
        <v>5</v>
      </c>
      <c r="L42" s="219" t="s">
        <v>5</v>
      </c>
      <c r="M42" s="180" t="s">
        <v>5</v>
      </c>
      <c r="N42" s="120" t="s">
        <v>5</v>
      </c>
      <c r="O42" s="219" t="s">
        <v>5</v>
      </c>
      <c r="P42" s="180" t="s">
        <v>5</v>
      </c>
      <c r="Q42" s="120" t="s">
        <v>5</v>
      </c>
      <c r="R42" s="219" t="s">
        <v>5</v>
      </c>
      <c r="S42" s="180" t="s">
        <v>5</v>
      </c>
      <c r="T42" s="161">
        <f>ROUND(E42*G42/100,-2)</f>
        <v>28900</v>
      </c>
      <c r="U42" s="19" t="s">
        <v>28</v>
      </c>
      <c r="V42" s="340">
        <v>100</v>
      </c>
      <c r="W42" s="4" t="str">
        <f t="shared" si="0"/>
        <v>C</v>
      </c>
    </row>
    <row r="43" spans="1:23" ht="15" customHeight="1">
      <c r="A43" s="235" t="s">
        <v>74</v>
      </c>
      <c r="B43" s="350">
        <v>1</v>
      </c>
      <c r="C43" s="333" t="s">
        <v>8</v>
      </c>
      <c r="D43" s="254" t="s">
        <v>5</v>
      </c>
      <c r="E43" s="127">
        <f>(0.01*100)+H43</f>
        <v>6.0500000000000007</v>
      </c>
      <c r="F43" s="319">
        <v>0</v>
      </c>
      <c r="G43" s="183">
        <v>126000</v>
      </c>
      <c r="H43" s="127">
        <f>0.0505*100</f>
        <v>5.0500000000000007</v>
      </c>
      <c r="I43" s="182">
        <f>G43</f>
        <v>126000</v>
      </c>
      <c r="J43" s="361" t="s">
        <v>5</v>
      </c>
      <c r="K43" s="187" t="s">
        <v>5</v>
      </c>
      <c r="L43" s="362" t="s">
        <v>5</v>
      </c>
      <c r="M43" s="361" t="s">
        <v>5</v>
      </c>
      <c r="N43" s="187" t="s">
        <v>5</v>
      </c>
      <c r="O43" s="362" t="s">
        <v>5</v>
      </c>
      <c r="P43" s="361" t="s">
        <v>5</v>
      </c>
      <c r="Q43" s="187" t="s">
        <v>5</v>
      </c>
      <c r="R43" s="362" t="s">
        <v>5</v>
      </c>
      <c r="S43" s="361" t="s">
        <v>5</v>
      </c>
      <c r="T43" s="336" t="s">
        <v>5</v>
      </c>
      <c r="U43" s="19" t="s">
        <v>6</v>
      </c>
      <c r="V43" s="340">
        <v>100</v>
      </c>
      <c r="W43" s="4" t="str">
        <f t="shared" si="0"/>
        <v>A</v>
      </c>
    </row>
    <row r="44" spans="1:23" s="2" customFormat="1" ht="15" customHeight="1">
      <c r="A44" s="339" t="s">
        <v>43</v>
      </c>
      <c r="B44" s="350">
        <v>1</v>
      </c>
      <c r="C44" s="333" t="s">
        <v>8</v>
      </c>
      <c r="D44" s="326" t="s">
        <v>5</v>
      </c>
      <c r="E44" s="127">
        <f>0.15*100</f>
        <v>15</v>
      </c>
      <c r="F44" s="224" t="s">
        <v>90</v>
      </c>
      <c r="G44" s="320">
        <v>58091</v>
      </c>
      <c r="H44" s="163" t="s">
        <v>5</v>
      </c>
      <c r="I44" s="395" t="s">
        <v>5</v>
      </c>
      <c r="J44" s="472" t="s">
        <v>5</v>
      </c>
      <c r="K44" s="163" t="s">
        <v>5</v>
      </c>
      <c r="L44" s="395" t="s">
        <v>5</v>
      </c>
      <c r="M44" s="472" t="s">
        <v>5</v>
      </c>
      <c r="N44" s="163" t="s">
        <v>5</v>
      </c>
      <c r="O44" s="395" t="s">
        <v>5</v>
      </c>
      <c r="P44" s="472" t="s">
        <v>5</v>
      </c>
      <c r="Q44" s="163" t="s">
        <v>5</v>
      </c>
      <c r="R44" s="395" t="s">
        <v>5</v>
      </c>
      <c r="S44" s="472" t="s">
        <v>5</v>
      </c>
      <c r="T44" s="161">
        <f>G44*E44/100</f>
        <v>8713.65</v>
      </c>
      <c r="U44" s="281" t="s">
        <v>6</v>
      </c>
      <c r="V44" s="346">
        <v>100</v>
      </c>
      <c r="W44" s="4" t="str">
        <f t="shared" si="0"/>
        <v>A</v>
      </c>
    </row>
    <row r="45" spans="1:23" ht="15" customHeight="1">
      <c r="A45" s="235" t="s">
        <v>47</v>
      </c>
      <c r="B45" s="350">
        <v>1</v>
      </c>
      <c r="C45" s="333" t="s">
        <v>19</v>
      </c>
      <c r="D45" s="354" t="s">
        <v>5</v>
      </c>
      <c r="E45" s="127">
        <f>0.11*100</f>
        <v>11</v>
      </c>
      <c r="F45" s="319">
        <f>5715/52</f>
        <v>109.90384615384616</v>
      </c>
      <c r="G45" s="320">
        <f>43875/52</f>
        <v>843.75</v>
      </c>
      <c r="H45" s="127">
        <f>0.01*100</f>
        <v>1</v>
      </c>
      <c r="I45" s="319">
        <f>G45</f>
        <v>843.75</v>
      </c>
      <c r="J45" s="320" t="s">
        <v>5</v>
      </c>
      <c r="K45" s="163" t="s">
        <v>5</v>
      </c>
      <c r="L45" s="395" t="s">
        <v>5</v>
      </c>
      <c r="M45" s="472" t="s">
        <v>5</v>
      </c>
      <c r="N45" s="163" t="s">
        <v>5</v>
      </c>
      <c r="O45" s="395" t="s">
        <v>5</v>
      </c>
      <c r="P45" s="472" t="s">
        <v>5</v>
      </c>
      <c r="Q45" s="163" t="s">
        <v>5</v>
      </c>
      <c r="R45" s="395" t="s">
        <v>5</v>
      </c>
      <c r="S45" s="472" t="s">
        <v>5</v>
      </c>
      <c r="T45" s="164" t="s">
        <v>5</v>
      </c>
      <c r="U45" s="168" t="s">
        <v>5</v>
      </c>
      <c r="V45" s="347" t="s">
        <v>5</v>
      </c>
      <c r="W45" s="4" t="str">
        <f t="shared" si="0"/>
        <v/>
      </c>
    </row>
    <row r="46" spans="1:23" ht="15" customHeight="1">
      <c r="A46" s="246" t="s">
        <v>20</v>
      </c>
      <c r="B46" s="355">
        <v>1</v>
      </c>
      <c r="C46" s="334" t="s">
        <v>8</v>
      </c>
      <c r="D46" s="356" t="s">
        <v>5</v>
      </c>
      <c r="E46" s="293">
        <f>(0.062*100)+H46</f>
        <v>7.65</v>
      </c>
      <c r="F46" s="321">
        <v>0</v>
      </c>
      <c r="G46" s="160">
        <v>106800</v>
      </c>
      <c r="H46" s="293">
        <f>0.0145*100</f>
        <v>1.4500000000000002</v>
      </c>
      <c r="I46" s="159">
        <f>G46</f>
        <v>106800</v>
      </c>
      <c r="J46" s="162" t="s">
        <v>5</v>
      </c>
      <c r="K46" s="478" t="s">
        <v>5</v>
      </c>
      <c r="L46" s="479" t="s">
        <v>5</v>
      </c>
      <c r="M46" s="162" t="s">
        <v>5</v>
      </c>
      <c r="N46" s="478" t="s">
        <v>5</v>
      </c>
      <c r="O46" s="479" t="s">
        <v>5</v>
      </c>
      <c r="P46" s="162" t="s">
        <v>5</v>
      </c>
      <c r="Q46" s="478" t="s">
        <v>5</v>
      </c>
      <c r="R46" s="479" t="s">
        <v>5</v>
      </c>
      <c r="S46" s="162" t="s">
        <v>5</v>
      </c>
      <c r="T46" s="348" t="s">
        <v>5</v>
      </c>
      <c r="U46" s="295" t="s">
        <v>5</v>
      </c>
      <c r="V46" s="349" t="s">
        <v>5</v>
      </c>
    </row>
    <row r="47" spans="1:23" ht="15" customHeight="1">
      <c r="A47" s="176"/>
      <c r="B47" s="169"/>
      <c r="C47" s="19"/>
      <c r="D47" s="23"/>
      <c r="E47" s="18"/>
      <c r="F47" s="89"/>
      <c r="G47" s="90"/>
      <c r="H47" s="90"/>
      <c r="I47" s="90"/>
      <c r="J47" s="90"/>
      <c r="K47" s="90"/>
      <c r="L47" s="90"/>
      <c r="M47" s="90"/>
      <c r="N47" s="90"/>
      <c r="O47" s="90"/>
      <c r="P47" s="90"/>
      <c r="Q47" s="90"/>
      <c r="R47" s="90"/>
      <c r="S47" s="90"/>
      <c r="T47" s="56"/>
      <c r="U47" s="54"/>
      <c r="V47" s="91"/>
    </row>
    <row r="48" spans="1:23" s="75" customFormat="1" ht="12.75" customHeight="1">
      <c r="A48" s="535" t="s">
        <v>94</v>
      </c>
      <c r="B48" s="535"/>
      <c r="C48" s="535"/>
      <c r="D48" s="535"/>
      <c r="E48" s="535"/>
      <c r="F48" s="535"/>
      <c r="G48" s="535"/>
      <c r="H48" s="535"/>
      <c r="I48" s="535"/>
      <c r="J48" s="535"/>
      <c r="K48" s="535"/>
      <c r="L48" s="535"/>
      <c r="M48" s="535"/>
      <c r="N48" s="535"/>
      <c r="O48" s="535"/>
      <c r="P48" s="535"/>
      <c r="Q48" s="535"/>
      <c r="R48" s="535"/>
      <c r="S48" s="535"/>
      <c r="T48" s="535"/>
      <c r="U48" s="535"/>
      <c r="V48" s="535"/>
    </row>
    <row r="49" spans="1:22" s="76" customFormat="1" ht="12.75" customHeight="1">
      <c r="A49" s="539" t="s">
        <v>95</v>
      </c>
      <c r="B49" s="539"/>
      <c r="C49" s="539"/>
      <c r="D49" s="539"/>
      <c r="E49" s="539"/>
      <c r="F49" s="539"/>
      <c r="G49" s="539"/>
      <c r="H49" s="539"/>
      <c r="I49" s="539"/>
      <c r="J49" s="539"/>
      <c r="K49" s="539"/>
      <c r="L49" s="539"/>
      <c r="M49" s="539"/>
      <c r="N49" s="539"/>
      <c r="O49" s="539"/>
      <c r="P49" s="539"/>
      <c r="Q49" s="539"/>
      <c r="R49" s="539"/>
      <c r="S49" s="539"/>
      <c r="T49" s="539"/>
      <c r="U49" s="539"/>
      <c r="V49" s="539"/>
    </row>
    <row r="50" spans="1:22" s="76" customFormat="1" ht="12.75" customHeight="1">
      <c r="A50" s="539" t="s">
        <v>107</v>
      </c>
      <c r="B50" s="539"/>
      <c r="C50" s="539"/>
      <c r="D50" s="539"/>
      <c r="E50" s="539"/>
      <c r="F50" s="539"/>
      <c r="G50" s="539"/>
      <c r="H50" s="539"/>
      <c r="I50" s="539"/>
      <c r="J50" s="539"/>
      <c r="K50" s="539"/>
      <c r="L50" s="539"/>
      <c r="M50" s="539"/>
      <c r="N50" s="539"/>
      <c r="O50" s="539"/>
      <c r="P50" s="539"/>
      <c r="Q50" s="539"/>
      <c r="R50" s="539"/>
      <c r="S50" s="539"/>
      <c r="T50" s="539"/>
      <c r="U50" s="539"/>
      <c r="V50" s="539"/>
    </row>
    <row r="51" spans="1:22" s="76" customFormat="1" ht="12.75" customHeight="1">
      <c r="A51" s="539" t="s">
        <v>108</v>
      </c>
      <c r="B51" s="539"/>
      <c r="C51" s="539"/>
      <c r="D51" s="539"/>
      <c r="E51" s="539"/>
      <c r="F51" s="539"/>
      <c r="G51" s="539"/>
      <c r="H51" s="539"/>
      <c r="I51" s="539"/>
      <c r="J51" s="539"/>
      <c r="K51" s="539"/>
      <c r="L51" s="539"/>
      <c r="M51" s="539"/>
      <c r="N51" s="539"/>
      <c r="O51" s="539"/>
      <c r="P51" s="539"/>
      <c r="Q51" s="539"/>
      <c r="R51" s="539"/>
      <c r="S51" s="539"/>
      <c r="T51" s="539"/>
      <c r="U51" s="539"/>
      <c r="V51" s="539"/>
    </row>
    <row r="52" spans="1:22" s="76" customFormat="1" ht="12.75" customHeight="1">
      <c r="A52" s="516" t="s">
        <v>1</v>
      </c>
      <c r="B52" s="84" t="s">
        <v>122</v>
      </c>
      <c r="C52" s="509" t="s">
        <v>123</v>
      </c>
      <c r="D52" s="103"/>
      <c r="E52" s="103"/>
      <c r="F52" s="104"/>
      <c r="U52" s="99"/>
      <c r="V52" s="99"/>
    </row>
    <row r="53" spans="1:22" s="76" customFormat="1" ht="12.75" customHeight="1">
      <c r="A53" s="517"/>
      <c r="B53" s="85" t="s">
        <v>124</v>
      </c>
      <c r="C53" s="510" t="s">
        <v>126</v>
      </c>
      <c r="D53" s="105"/>
      <c r="E53" s="105"/>
      <c r="F53" s="106"/>
      <c r="U53" s="83"/>
      <c r="V53" s="83"/>
    </row>
    <row r="54" spans="1:22" s="76" customFormat="1" ht="12.75" customHeight="1">
      <c r="A54" s="517"/>
      <c r="B54" s="86" t="s">
        <v>125</v>
      </c>
      <c r="C54" s="511" t="s">
        <v>136</v>
      </c>
      <c r="D54" s="107"/>
      <c r="E54" s="107"/>
      <c r="F54" s="108"/>
      <c r="U54" s="83"/>
      <c r="V54" s="83"/>
    </row>
    <row r="55" spans="1:22" s="76" customFormat="1" ht="12.75" customHeight="1">
      <c r="A55" s="517"/>
      <c r="C55" s="78"/>
      <c r="D55" s="93"/>
      <c r="E55" s="93"/>
      <c r="F55" s="93"/>
      <c r="U55" s="83"/>
      <c r="V55" s="83"/>
    </row>
    <row r="56" spans="1:22" s="76" customFormat="1" ht="12.75" customHeight="1">
      <c r="A56" s="518" t="s">
        <v>127</v>
      </c>
      <c r="B56" s="84" t="s">
        <v>128</v>
      </c>
      <c r="C56" s="509" t="s">
        <v>129</v>
      </c>
      <c r="D56" s="103"/>
      <c r="E56" s="103"/>
      <c r="F56" s="104"/>
      <c r="U56" s="99"/>
      <c r="V56" s="99"/>
    </row>
    <row r="57" spans="1:22" s="76" customFormat="1" ht="12.75" customHeight="1">
      <c r="A57" s="517"/>
      <c r="B57" s="85" t="s">
        <v>130</v>
      </c>
      <c r="C57" s="510" t="s">
        <v>133</v>
      </c>
      <c r="D57" s="105"/>
      <c r="E57" s="105"/>
      <c r="F57" s="106"/>
      <c r="U57" s="83"/>
      <c r="V57" s="83"/>
    </row>
    <row r="58" spans="1:22" s="76" customFormat="1" ht="12.75" customHeight="1">
      <c r="A58" s="517"/>
      <c r="B58" s="85" t="s">
        <v>131</v>
      </c>
      <c r="C58" s="510" t="s">
        <v>132</v>
      </c>
      <c r="D58" s="105"/>
      <c r="E58" s="105"/>
      <c r="F58" s="106"/>
      <c r="U58" s="83"/>
      <c r="V58" s="83"/>
    </row>
    <row r="59" spans="1:22" s="76" customFormat="1" ht="12.75" customHeight="1">
      <c r="A59" s="517"/>
      <c r="B59" s="85" t="s">
        <v>134</v>
      </c>
      <c r="C59" s="510" t="s">
        <v>135</v>
      </c>
      <c r="D59" s="105"/>
      <c r="E59" s="105"/>
      <c r="F59" s="106"/>
      <c r="U59" s="83"/>
      <c r="V59" s="83"/>
    </row>
    <row r="60" spans="1:22" s="76" customFormat="1" ht="12.75" customHeight="1">
      <c r="A60" s="519"/>
      <c r="B60" s="86" t="s">
        <v>28</v>
      </c>
      <c r="C60" s="511" t="s">
        <v>214</v>
      </c>
      <c r="D60" s="109"/>
      <c r="E60" s="109"/>
      <c r="F60" s="110"/>
      <c r="U60" s="83"/>
      <c r="V60" s="83"/>
    </row>
    <row r="61" spans="1:22" s="76" customFormat="1" ht="12.75" customHeight="1">
      <c r="A61" s="520"/>
      <c r="B61" s="78"/>
      <c r="C61" s="78"/>
      <c r="D61" s="83"/>
      <c r="F61" s="83"/>
      <c r="G61" s="83"/>
      <c r="H61" s="83"/>
      <c r="I61" s="83"/>
      <c r="J61" s="83"/>
      <c r="K61" s="83"/>
      <c r="L61" s="83"/>
      <c r="M61" s="83"/>
      <c r="N61" s="83"/>
      <c r="O61" s="83"/>
      <c r="P61" s="83"/>
      <c r="Q61" s="83"/>
      <c r="R61" s="83"/>
      <c r="S61" s="83"/>
      <c r="T61" s="83"/>
      <c r="U61" s="83"/>
      <c r="V61" s="83"/>
    </row>
    <row r="62" spans="1:22" s="76" customFormat="1">
      <c r="A62" s="540" t="s">
        <v>96</v>
      </c>
      <c r="B62" s="540"/>
      <c r="C62" s="540"/>
      <c r="D62" s="540"/>
      <c r="E62" s="540"/>
      <c r="F62" s="540"/>
      <c r="G62" s="540"/>
      <c r="H62" s="540"/>
      <c r="I62" s="540"/>
      <c r="J62" s="540"/>
      <c r="K62" s="540"/>
      <c r="L62" s="540"/>
      <c r="M62" s="540"/>
      <c r="N62" s="540"/>
      <c r="O62" s="540"/>
      <c r="P62" s="540"/>
      <c r="Q62" s="540"/>
      <c r="R62" s="540"/>
      <c r="S62" s="540"/>
      <c r="T62" s="540"/>
      <c r="U62" s="540"/>
      <c r="V62" s="540"/>
    </row>
    <row r="63" spans="1:22" s="76" customFormat="1">
      <c r="A63" s="539" t="s">
        <v>97</v>
      </c>
      <c r="B63" s="539"/>
      <c r="C63" s="539"/>
      <c r="D63" s="539"/>
      <c r="E63" s="539"/>
      <c r="F63" s="539"/>
      <c r="G63" s="539"/>
      <c r="H63" s="539"/>
      <c r="I63" s="539"/>
      <c r="J63" s="539"/>
      <c r="K63" s="539"/>
      <c r="L63" s="539"/>
      <c r="M63" s="539"/>
      <c r="N63" s="539"/>
      <c r="O63" s="539"/>
      <c r="P63" s="539"/>
      <c r="Q63" s="539"/>
      <c r="R63" s="539"/>
      <c r="S63" s="539"/>
      <c r="T63" s="539"/>
      <c r="U63" s="539"/>
      <c r="V63" s="539"/>
    </row>
    <row r="64" spans="1:22" s="76" customFormat="1" ht="22.5" customHeight="1">
      <c r="A64" s="521" t="s">
        <v>98</v>
      </c>
      <c r="B64" s="177"/>
      <c r="C64" s="512"/>
      <c r="D64" s="177"/>
      <c r="E64" s="177"/>
      <c r="F64" s="177"/>
      <c r="G64" s="177"/>
      <c r="H64" s="177"/>
      <c r="I64" s="177"/>
      <c r="J64" s="177"/>
      <c r="K64" s="177"/>
      <c r="L64" s="177"/>
      <c r="M64" s="177"/>
      <c r="N64" s="177"/>
      <c r="O64" s="177"/>
      <c r="P64" s="177"/>
      <c r="Q64" s="177"/>
      <c r="R64" s="177"/>
      <c r="S64" s="177"/>
      <c r="T64" s="177"/>
      <c r="U64" s="177"/>
      <c r="V64" s="177"/>
    </row>
    <row r="65" spans="1:33" s="76" customFormat="1" ht="50.25" customHeight="1">
      <c r="A65" s="539" t="s">
        <v>238</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22.5" customHeight="1">
      <c r="A66" s="539" t="s">
        <v>226</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35.25" customHeight="1">
      <c r="A67" s="539" t="s">
        <v>227</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65.25" customHeight="1">
      <c r="A68" s="539" t="s">
        <v>228</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132" customHeight="1">
      <c r="A69" s="539" t="s">
        <v>229</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50.25" customHeight="1">
      <c r="A70" s="539" t="s">
        <v>230</v>
      </c>
      <c r="B70" s="539"/>
      <c r="C70" s="539"/>
      <c r="D70" s="539"/>
      <c r="E70" s="539"/>
      <c r="F70" s="539"/>
      <c r="G70" s="539"/>
      <c r="H70" s="539"/>
      <c r="I70" s="539"/>
      <c r="J70" s="539"/>
      <c r="K70" s="539"/>
      <c r="L70" s="539"/>
      <c r="M70" s="539"/>
      <c r="N70" s="539"/>
      <c r="O70" s="539"/>
      <c r="P70" s="539"/>
      <c r="Q70" s="539"/>
      <c r="R70" s="539"/>
      <c r="S70" s="539"/>
      <c r="T70" s="539"/>
      <c r="U70" s="539"/>
      <c r="V70" s="539"/>
      <c r="W70" s="83"/>
      <c r="X70" s="83"/>
      <c r="Y70" s="83"/>
      <c r="Z70" s="83"/>
      <c r="AA70" s="83"/>
      <c r="AB70" s="83"/>
      <c r="AC70" s="83"/>
      <c r="AD70" s="83"/>
      <c r="AE70" s="83"/>
      <c r="AF70" s="83"/>
      <c r="AG70" s="83"/>
    </row>
    <row r="71" spans="1:33" s="76" customFormat="1" ht="25.5" customHeight="1">
      <c r="A71" s="542" t="s">
        <v>99</v>
      </c>
      <c r="B71" s="542"/>
      <c r="C71" s="542"/>
      <c r="D71" s="542"/>
      <c r="E71" s="542"/>
      <c r="F71" s="542"/>
      <c r="G71" s="542"/>
      <c r="H71" s="542"/>
      <c r="I71" s="542"/>
      <c r="J71" s="542"/>
      <c r="K71" s="542"/>
      <c r="L71" s="542"/>
      <c r="M71" s="542"/>
      <c r="N71" s="542"/>
      <c r="O71" s="542"/>
      <c r="P71" s="542"/>
      <c r="Q71" s="542"/>
      <c r="R71" s="542"/>
      <c r="S71" s="542"/>
      <c r="T71" s="542"/>
      <c r="U71" s="542"/>
      <c r="V71" s="542"/>
    </row>
    <row r="72" spans="1:33" s="76" customFormat="1" ht="25.5" customHeight="1">
      <c r="A72" s="540" t="s">
        <v>259</v>
      </c>
      <c r="B72" s="540"/>
      <c r="C72" s="540"/>
      <c r="D72" s="540"/>
      <c r="E72" s="540"/>
      <c r="F72" s="540"/>
      <c r="G72" s="540"/>
      <c r="H72" s="540"/>
      <c r="I72" s="540"/>
      <c r="J72" s="540"/>
      <c r="K72" s="540"/>
      <c r="L72" s="540"/>
      <c r="M72" s="540"/>
      <c r="N72" s="540"/>
      <c r="O72" s="540"/>
      <c r="P72" s="540"/>
      <c r="Q72" s="540"/>
      <c r="R72" s="540"/>
      <c r="S72" s="540"/>
      <c r="T72" s="540"/>
      <c r="U72" s="540"/>
      <c r="V72" s="540"/>
    </row>
    <row r="73" spans="1:33" ht="31.5" customHeight="1">
      <c r="A73" s="543" t="s">
        <v>196</v>
      </c>
      <c r="B73" s="543"/>
      <c r="C73" s="543"/>
      <c r="D73" s="543"/>
      <c r="E73" s="543"/>
      <c r="F73" s="543"/>
      <c r="G73" s="543"/>
      <c r="H73" s="543"/>
      <c r="I73" s="543"/>
      <c r="J73" s="543"/>
      <c r="K73" s="543"/>
      <c r="L73" s="543"/>
      <c r="M73" s="543"/>
      <c r="N73" s="543"/>
      <c r="O73" s="543"/>
      <c r="P73" s="543"/>
      <c r="Q73" s="543"/>
      <c r="R73" s="543"/>
      <c r="S73" s="543"/>
      <c r="T73" s="543"/>
      <c r="U73" s="543"/>
      <c r="V73" s="543"/>
    </row>
    <row r="74" spans="1:33" ht="31.5" customHeight="1">
      <c r="A74" s="543" t="s">
        <v>191</v>
      </c>
      <c r="B74" s="543"/>
      <c r="C74" s="543"/>
      <c r="D74" s="543"/>
      <c r="E74" s="543"/>
      <c r="F74" s="543"/>
      <c r="G74" s="543"/>
      <c r="H74" s="543"/>
      <c r="I74" s="543"/>
      <c r="J74" s="543"/>
      <c r="K74" s="543"/>
      <c r="L74" s="543"/>
      <c r="M74" s="543"/>
      <c r="N74" s="543"/>
      <c r="O74" s="543"/>
      <c r="P74" s="543"/>
      <c r="Q74" s="543"/>
      <c r="R74" s="543"/>
      <c r="S74" s="543"/>
      <c r="T74" s="543"/>
      <c r="U74" s="543"/>
      <c r="V74" s="543"/>
    </row>
    <row r="75" spans="1:33" ht="31.5" customHeight="1">
      <c r="A75" s="543" t="s">
        <v>139</v>
      </c>
      <c r="B75" s="543"/>
      <c r="C75" s="543"/>
      <c r="D75" s="543"/>
      <c r="E75" s="543"/>
      <c r="F75" s="543"/>
      <c r="G75" s="543"/>
      <c r="H75" s="543"/>
      <c r="I75" s="543"/>
      <c r="J75" s="543"/>
      <c r="K75" s="543"/>
      <c r="L75" s="543"/>
      <c r="M75" s="543"/>
      <c r="N75" s="543"/>
      <c r="O75" s="543"/>
      <c r="P75" s="543"/>
      <c r="Q75" s="543"/>
      <c r="R75" s="543"/>
      <c r="S75" s="543"/>
      <c r="T75" s="543"/>
      <c r="U75" s="543"/>
      <c r="V75" s="543"/>
    </row>
    <row r="76" spans="1:33" ht="31.5" customHeight="1">
      <c r="A76" s="543" t="s">
        <v>197</v>
      </c>
      <c r="B76" s="543"/>
      <c r="C76" s="543"/>
      <c r="D76" s="543"/>
      <c r="E76" s="543"/>
      <c r="F76" s="543"/>
      <c r="G76" s="543"/>
      <c r="H76" s="543"/>
      <c r="I76" s="543"/>
      <c r="J76" s="543"/>
      <c r="K76" s="543"/>
      <c r="L76" s="543"/>
      <c r="M76" s="543"/>
      <c r="N76" s="543"/>
      <c r="O76" s="543"/>
      <c r="P76" s="543"/>
      <c r="Q76" s="543"/>
      <c r="R76" s="543"/>
      <c r="S76" s="543"/>
      <c r="T76" s="543"/>
      <c r="U76" s="543"/>
      <c r="V76" s="543"/>
    </row>
    <row r="77" spans="1:33" ht="31.5" customHeight="1">
      <c r="A77" s="543" t="s">
        <v>140</v>
      </c>
      <c r="B77" s="543"/>
      <c r="C77" s="543"/>
      <c r="D77" s="543"/>
      <c r="E77" s="543"/>
      <c r="F77" s="543"/>
      <c r="G77" s="543"/>
      <c r="H77" s="543"/>
      <c r="I77" s="543"/>
      <c r="J77" s="543"/>
      <c r="K77" s="543"/>
      <c r="L77" s="543"/>
      <c r="M77" s="543"/>
      <c r="N77" s="543"/>
      <c r="O77" s="543"/>
      <c r="P77" s="543"/>
      <c r="Q77" s="543"/>
      <c r="R77" s="543"/>
      <c r="S77" s="543"/>
      <c r="T77" s="543"/>
      <c r="U77" s="543"/>
      <c r="V77" s="543"/>
    </row>
    <row r="78" spans="1:33" s="76" customFormat="1" ht="20.25" customHeight="1">
      <c r="A78" s="540" t="s">
        <v>217</v>
      </c>
      <c r="B78" s="540"/>
      <c r="C78" s="540"/>
      <c r="D78" s="540"/>
      <c r="E78" s="540"/>
      <c r="F78" s="540"/>
      <c r="G78" s="540"/>
      <c r="H78" s="540"/>
      <c r="I78" s="540"/>
      <c r="J78" s="540"/>
      <c r="K78" s="540"/>
      <c r="L78" s="540"/>
      <c r="M78" s="540"/>
      <c r="N78" s="540"/>
      <c r="O78" s="540"/>
      <c r="P78" s="540"/>
      <c r="Q78" s="540"/>
      <c r="R78" s="540"/>
      <c r="S78" s="540"/>
      <c r="T78" s="540"/>
      <c r="U78" s="540"/>
      <c r="V78" s="540"/>
    </row>
    <row r="79" spans="1:33" ht="31.5" customHeight="1">
      <c r="A79" s="543" t="s">
        <v>193</v>
      </c>
      <c r="B79" s="543"/>
      <c r="C79" s="543"/>
      <c r="D79" s="543"/>
      <c r="E79" s="543"/>
      <c r="F79" s="543"/>
      <c r="G79" s="543"/>
      <c r="H79" s="543"/>
      <c r="I79" s="543"/>
      <c r="J79" s="543"/>
      <c r="K79" s="543"/>
      <c r="L79" s="543"/>
      <c r="M79" s="543"/>
      <c r="N79" s="543"/>
      <c r="O79" s="543"/>
      <c r="P79" s="543"/>
      <c r="Q79" s="543"/>
      <c r="R79" s="543"/>
      <c r="S79" s="543"/>
      <c r="T79" s="543"/>
      <c r="U79" s="543"/>
      <c r="V79" s="543"/>
    </row>
    <row r="80" spans="1:33" ht="43.5" customHeight="1">
      <c r="A80" s="543" t="s">
        <v>141</v>
      </c>
      <c r="B80" s="543"/>
      <c r="C80" s="543"/>
      <c r="D80" s="543"/>
      <c r="E80" s="543"/>
      <c r="F80" s="543"/>
      <c r="G80" s="543"/>
      <c r="H80" s="543"/>
      <c r="I80" s="543"/>
      <c r="J80" s="543"/>
      <c r="K80" s="543"/>
      <c r="L80" s="543"/>
      <c r="M80" s="543"/>
      <c r="N80" s="543"/>
      <c r="O80" s="543"/>
      <c r="P80" s="543"/>
      <c r="Q80" s="543"/>
      <c r="R80" s="543"/>
      <c r="S80" s="543"/>
      <c r="T80" s="543"/>
      <c r="U80" s="543"/>
      <c r="V80" s="543"/>
    </row>
    <row r="81" spans="1:22" ht="56.25" customHeight="1">
      <c r="A81" s="543" t="s">
        <v>188</v>
      </c>
      <c r="B81" s="543"/>
      <c r="C81" s="543"/>
      <c r="D81" s="543"/>
      <c r="E81" s="543"/>
      <c r="F81" s="543"/>
      <c r="G81" s="543"/>
      <c r="H81" s="543"/>
      <c r="I81" s="543"/>
      <c r="J81" s="543"/>
      <c r="K81" s="543"/>
      <c r="L81" s="543"/>
      <c r="M81" s="543"/>
      <c r="N81" s="543"/>
      <c r="O81" s="543"/>
      <c r="P81" s="543"/>
      <c r="Q81" s="543"/>
      <c r="R81" s="543"/>
      <c r="S81" s="543"/>
      <c r="T81" s="543"/>
      <c r="U81" s="543"/>
      <c r="V81" s="543"/>
    </row>
    <row r="82" spans="1:22" ht="31.5" customHeight="1">
      <c r="A82" s="543" t="s">
        <v>189</v>
      </c>
      <c r="B82" s="543"/>
      <c r="C82" s="543"/>
      <c r="D82" s="543"/>
      <c r="E82" s="543"/>
      <c r="F82" s="543"/>
      <c r="G82" s="543"/>
      <c r="H82" s="543"/>
      <c r="I82" s="543"/>
      <c r="J82" s="543"/>
      <c r="K82" s="543"/>
      <c r="L82" s="543"/>
      <c r="M82" s="543"/>
      <c r="N82" s="543"/>
      <c r="O82" s="543"/>
      <c r="P82" s="543"/>
      <c r="Q82" s="543"/>
      <c r="R82" s="543"/>
      <c r="S82" s="543"/>
      <c r="T82" s="543"/>
      <c r="U82" s="543"/>
      <c r="V82" s="543"/>
    </row>
    <row r="83" spans="1:22" ht="47.25" customHeight="1">
      <c r="A83" s="543" t="s">
        <v>198</v>
      </c>
      <c r="B83" s="543"/>
      <c r="C83" s="543"/>
      <c r="D83" s="543"/>
      <c r="E83" s="543"/>
      <c r="F83" s="543"/>
      <c r="G83" s="543"/>
      <c r="H83" s="543"/>
      <c r="I83" s="543"/>
      <c r="J83" s="543"/>
      <c r="K83" s="543"/>
      <c r="L83" s="543"/>
      <c r="M83" s="543"/>
      <c r="N83" s="543"/>
      <c r="O83" s="543"/>
      <c r="P83" s="543"/>
      <c r="Q83" s="543"/>
      <c r="R83" s="543"/>
      <c r="S83" s="543"/>
      <c r="T83" s="543"/>
      <c r="U83" s="543"/>
      <c r="V83" s="543"/>
    </row>
    <row r="84" spans="1:22" ht="31.5" customHeight="1">
      <c r="A84" s="543" t="s">
        <v>185</v>
      </c>
      <c r="B84" s="543"/>
      <c r="C84" s="543"/>
      <c r="D84" s="543"/>
      <c r="E84" s="543"/>
      <c r="F84" s="543"/>
      <c r="G84" s="543"/>
      <c r="H84" s="543"/>
      <c r="I84" s="543"/>
      <c r="J84" s="543"/>
      <c r="K84" s="543"/>
      <c r="L84" s="543"/>
      <c r="M84" s="543"/>
      <c r="N84" s="543"/>
      <c r="O84" s="543"/>
      <c r="P84" s="543"/>
      <c r="Q84" s="543"/>
      <c r="R84" s="543"/>
      <c r="S84" s="543"/>
      <c r="T84" s="543"/>
      <c r="U84" s="543"/>
      <c r="V84" s="543"/>
    </row>
    <row r="85" spans="1:22" ht="31.5" customHeight="1">
      <c r="A85" s="543" t="s">
        <v>181</v>
      </c>
      <c r="B85" s="543"/>
      <c r="C85" s="543"/>
      <c r="D85" s="543"/>
      <c r="E85" s="543"/>
      <c r="F85" s="543"/>
      <c r="G85" s="543"/>
      <c r="H85" s="543"/>
      <c r="I85" s="543"/>
      <c r="J85" s="543"/>
      <c r="K85" s="543"/>
      <c r="L85" s="543"/>
      <c r="M85" s="543"/>
      <c r="N85" s="543"/>
      <c r="O85" s="543"/>
      <c r="P85" s="543"/>
      <c r="Q85" s="543"/>
      <c r="R85" s="543"/>
      <c r="S85" s="543"/>
      <c r="T85" s="543"/>
      <c r="U85" s="543"/>
      <c r="V85" s="543"/>
    </row>
    <row r="86" spans="1:22" ht="31.5" customHeight="1">
      <c r="A86" s="543" t="s">
        <v>146</v>
      </c>
      <c r="B86" s="543"/>
      <c r="C86" s="543"/>
      <c r="D86" s="543"/>
      <c r="E86" s="543"/>
      <c r="F86" s="543"/>
      <c r="G86" s="543"/>
      <c r="H86" s="543"/>
      <c r="I86" s="543"/>
      <c r="J86" s="543"/>
      <c r="K86" s="543"/>
      <c r="L86" s="543"/>
      <c r="M86" s="543"/>
      <c r="N86" s="543"/>
      <c r="O86" s="543"/>
      <c r="P86" s="543"/>
      <c r="Q86" s="543"/>
      <c r="R86" s="543"/>
      <c r="S86" s="543"/>
      <c r="T86" s="543"/>
      <c r="U86" s="543"/>
      <c r="V86" s="543"/>
    </row>
    <row r="87" spans="1:22" ht="18.75" customHeight="1">
      <c r="A87" s="543" t="s">
        <v>186</v>
      </c>
      <c r="B87" s="543"/>
      <c r="C87" s="543"/>
      <c r="D87" s="543"/>
      <c r="E87" s="543"/>
      <c r="F87" s="543"/>
      <c r="G87" s="543"/>
      <c r="H87" s="543"/>
      <c r="I87" s="543"/>
      <c r="J87" s="543"/>
      <c r="K87" s="543"/>
      <c r="L87" s="543"/>
      <c r="M87" s="543"/>
      <c r="N87" s="543"/>
      <c r="O87" s="543"/>
      <c r="P87" s="543"/>
      <c r="Q87" s="543"/>
      <c r="R87" s="543"/>
      <c r="S87" s="543"/>
      <c r="T87" s="543"/>
      <c r="U87" s="543"/>
      <c r="V87" s="543"/>
    </row>
    <row r="88" spans="1:22" ht="18.75" customHeight="1">
      <c r="A88" s="543" t="s">
        <v>100</v>
      </c>
      <c r="B88" s="543"/>
      <c r="C88" s="543"/>
      <c r="D88" s="543"/>
      <c r="E88" s="543"/>
      <c r="F88" s="543"/>
      <c r="G88" s="543"/>
      <c r="H88" s="543"/>
      <c r="I88" s="543"/>
      <c r="J88" s="543"/>
      <c r="K88" s="543"/>
      <c r="L88" s="543"/>
      <c r="M88" s="543"/>
      <c r="N88" s="543"/>
      <c r="O88" s="543"/>
      <c r="P88" s="543"/>
      <c r="Q88" s="543"/>
      <c r="R88" s="543"/>
      <c r="S88" s="543"/>
      <c r="T88" s="543"/>
      <c r="U88" s="543"/>
      <c r="V88" s="543"/>
    </row>
    <row r="89" spans="1:22" ht="38.25" customHeight="1">
      <c r="A89" s="544" t="s">
        <v>148</v>
      </c>
      <c r="B89" s="544"/>
      <c r="C89" s="544"/>
      <c r="D89" s="544"/>
      <c r="E89" s="544"/>
      <c r="F89" s="544"/>
      <c r="G89" s="544"/>
      <c r="H89" s="544"/>
      <c r="I89" s="544"/>
      <c r="J89" s="544"/>
      <c r="K89" s="544"/>
      <c r="L89" s="544"/>
      <c r="M89" s="544"/>
      <c r="N89" s="544"/>
      <c r="O89" s="544"/>
      <c r="P89" s="544"/>
      <c r="Q89" s="544"/>
      <c r="R89" s="544"/>
      <c r="S89" s="544"/>
      <c r="T89" s="544"/>
      <c r="U89" s="544"/>
      <c r="V89" s="544"/>
    </row>
    <row r="90" spans="1:22" ht="18.75" customHeight="1">
      <c r="A90" s="543" t="s">
        <v>149</v>
      </c>
      <c r="B90" s="543"/>
      <c r="C90" s="543"/>
      <c r="D90" s="543"/>
      <c r="E90" s="543"/>
      <c r="F90" s="543"/>
      <c r="G90" s="543"/>
      <c r="H90" s="543"/>
      <c r="I90" s="543"/>
      <c r="J90" s="543"/>
      <c r="K90" s="543"/>
      <c r="L90" s="543"/>
      <c r="M90" s="543"/>
      <c r="N90" s="543"/>
      <c r="O90" s="543"/>
      <c r="P90" s="543"/>
      <c r="Q90" s="543"/>
      <c r="R90" s="543"/>
      <c r="S90" s="543"/>
      <c r="T90" s="543"/>
      <c r="U90" s="543"/>
      <c r="V90" s="543"/>
    </row>
    <row r="91" spans="1:22" ht="78" customHeight="1">
      <c r="A91" s="544" t="s">
        <v>101</v>
      </c>
      <c r="B91" s="544"/>
      <c r="C91" s="544"/>
      <c r="D91" s="544"/>
      <c r="E91" s="544"/>
      <c r="F91" s="544"/>
      <c r="G91" s="544"/>
      <c r="H91" s="544"/>
      <c r="I91" s="544"/>
      <c r="J91" s="544"/>
      <c r="K91" s="544"/>
      <c r="L91" s="544"/>
      <c r="M91" s="544"/>
      <c r="N91" s="544"/>
      <c r="O91" s="544"/>
      <c r="P91" s="544"/>
      <c r="Q91" s="544"/>
      <c r="R91" s="544"/>
      <c r="S91" s="544"/>
      <c r="T91" s="544"/>
      <c r="U91" s="544"/>
      <c r="V91" s="544"/>
    </row>
    <row r="113" spans="1:65">
      <c r="A113" s="526"/>
      <c r="B113" s="28"/>
      <c r="C113" s="170"/>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row>
    <row r="114" spans="1:65">
      <c r="A114" s="527"/>
      <c r="B114" s="170"/>
      <c r="C114" s="170"/>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row>
  </sheetData>
  <mergeCells count="38">
    <mergeCell ref="A73:V73"/>
    <mergeCell ref="A74:V74"/>
    <mergeCell ref="A75:V75"/>
    <mergeCell ref="A76:V76"/>
    <mergeCell ref="A71:V71"/>
    <mergeCell ref="A72:V72"/>
    <mergeCell ref="A66:V66"/>
    <mergeCell ref="A67:V67"/>
    <mergeCell ref="A68:V68"/>
    <mergeCell ref="A69:V69"/>
    <mergeCell ref="A70:V70"/>
    <mergeCell ref="A91:V91"/>
    <mergeCell ref="A86:V86"/>
    <mergeCell ref="A87:V87"/>
    <mergeCell ref="A88:V88"/>
    <mergeCell ref="A90:V90"/>
    <mergeCell ref="A89:V89"/>
    <mergeCell ref="A82:V82"/>
    <mergeCell ref="A83:V83"/>
    <mergeCell ref="A84:V84"/>
    <mergeCell ref="A85:V85"/>
    <mergeCell ref="A77:V77"/>
    <mergeCell ref="A79:V79"/>
    <mergeCell ref="A80:V80"/>
    <mergeCell ref="A81:V81"/>
    <mergeCell ref="A78:V78"/>
    <mergeCell ref="A48:V48"/>
    <mergeCell ref="A49:V49"/>
    <mergeCell ref="A50:V50"/>
    <mergeCell ref="A51:V51"/>
    <mergeCell ref="A65:V65"/>
    <mergeCell ref="A62:V62"/>
    <mergeCell ref="A63:V63"/>
    <mergeCell ref="F3:G3"/>
    <mergeCell ref="I3:J3"/>
    <mergeCell ref="L3:M3"/>
    <mergeCell ref="O3:P3"/>
    <mergeCell ref="R3:S3"/>
  </mergeCells>
  <pageMargins left="0.75" right="0.75" top="0.5" bottom="0.21" header="0.5" footer="0.24"/>
  <pageSetup paperSize="9" orientation="landscape" r:id="rId1"/>
  <headerFooter alignWithMargins="0"/>
  <ignoredErrors>
    <ignoredError sqref="H6 K6:S6"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M113"/>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11" customWidth="1"/>
    <col min="5" max="5" width="8.7109375" style="2" customWidth="1"/>
    <col min="6" max="6" width="12.7109375" style="2" customWidth="1"/>
    <col min="7" max="7" width="12.7109375" style="11" customWidth="1"/>
    <col min="8" max="8" width="8.7109375" style="11" customWidth="1"/>
    <col min="9" max="10" width="12.7109375" style="11" customWidth="1"/>
    <col min="11" max="11" width="8.7109375" style="11" customWidth="1"/>
    <col min="12" max="13" width="12.7109375" style="11" customWidth="1"/>
    <col min="14" max="14" width="8.7109375" style="11" customWidth="1"/>
    <col min="15" max="16" width="12.7109375" style="11" customWidth="1"/>
    <col min="17" max="17" width="8.7109375" style="11" customWidth="1"/>
    <col min="18" max="20" width="12.7109375" style="11" customWidth="1"/>
    <col min="21" max="21" width="5" style="2" bestFit="1" customWidth="1"/>
    <col min="22" max="22" width="15.42578125" style="13" customWidth="1"/>
    <col min="23" max="23" width="12.7109375" style="4" hidden="1" customWidth="1"/>
    <col min="24" max="29" width="12.7109375" style="4" customWidth="1"/>
    <col min="30" max="16384" width="9.140625" style="4"/>
  </cols>
  <sheetData>
    <row r="1" spans="1:23" s="41" customFormat="1" ht="30" customHeight="1">
      <c r="A1" s="514" t="s">
        <v>46</v>
      </c>
      <c r="B1" s="102"/>
      <c r="C1" s="508"/>
      <c r="D1" s="49"/>
      <c r="E1" s="45"/>
      <c r="F1" s="45"/>
      <c r="G1" s="49"/>
      <c r="H1" s="49"/>
      <c r="I1" s="49"/>
      <c r="J1" s="49"/>
      <c r="K1" s="49"/>
      <c r="L1" s="49"/>
      <c r="M1" s="49"/>
      <c r="N1" s="49"/>
      <c r="O1" s="49"/>
      <c r="P1" s="49"/>
      <c r="Q1" s="49"/>
      <c r="R1" s="49"/>
      <c r="S1" s="49"/>
      <c r="T1" s="49"/>
      <c r="U1" s="45"/>
      <c r="V1" s="51"/>
    </row>
    <row r="2" spans="1:23" s="41" customFormat="1" ht="30" customHeight="1">
      <c r="A2" s="514" t="s">
        <v>103</v>
      </c>
      <c r="B2" s="102"/>
      <c r="C2" s="508"/>
      <c r="D2" s="49"/>
      <c r="E2" s="45"/>
      <c r="F2" s="45"/>
      <c r="G2" s="49"/>
      <c r="H2" s="49"/>
      <c r="I2" s="49"/>
      <c r="J2" s="49"/>
      <c r="K2" s="49"/>
      <c r="L2" s="49"/>
      <c r="M2" s="49"/>
      <c r="N2" s="49"/>
      <c r="O2" s="49"/>
      <c r="P2" s="49"/>
      <c r="Q2" s="49"/>
      <c r="R2" s="49"/>
      <c r="S2" s="49"/>
      <c r="T2" s="49"/>
      <c r="U2" s="45"/>
      <c r="V2" s="51"/>
    </row>
    <row r="3" spans="1:23" s="41" customFormat="1" ht="30" customHeight="1">
      <c r="A3" s="514"/>
      <c r="B3" s="102"/>
      <c r="C3" s="508"/>
      <c r="D3" s="49"/>
      <c r="E3" s="45"/>
      <c r="F3" s="546" t="s">
        <v>248</v>
      </c>
      <c r="G3" s="547"/>
      <c r="H3" s="49"/>
      <c r="I3" s="546" t="s">
        <v>248</v>
      </c>
      <c r="J3" s="547"/>
      <c r="K3" s="49"/>
      <c r="L3" s="546" t="s">
        <v>248</v>
      </c>
      <c r="M3" s="547"/>
      <c r="N3" s="49"/>
      <c r="O3" s="546" t="s">
        <v>248</v>
      </c>
      <c r="P3" s="547"/>
      <c r="Q3" s="49"/>
      <c r="R3" s="546" t="s">
        <v>248</v>
      </c>
      <c r="S3" s="547"/>
      <c r="T3" s="49"/>
      <c r="U3" s="45"/>
      <c r="V3" s="51"/>
    </row>
    <row r="4" spans="1:23"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44" t="s">
        <v>33</v>
      </c>
      <c r="B5" s="381">
        <v>0</v>
      </c>
      <c r="C5" s="270" t="s">
        <v>250</v>
      </c>
      <c r="D5" s="384" t="s">
        <v>5</v>
      </c>
      <c r="E5" s="363" t="s">
        <v>5</v>
      </c>
      <c r="F5" s="390" t="s">
        <v>5</v>
      </c>
      <c r="G5" s="391" t="s">
        <v>5</v>
      </c>
      <c r="H5" s="365"/>
      <c r="I5" s="401"/>
      <c r="J5" s="391"/>
      <c r="K5" s="365"/>
      <c r="L5" s="401"/>
      <c r="M5" s="391"/>
      <c r="N5" s="365"/>
      <c r="O5" s="401"/>
      <c r="P5" s="391"/>
      <c r="Q5" s="365"/>
      <c r="R5" s="401"/>
      <c r="S5" s="391"/>
      <c r="T5" s="206" t="s">
        <v>5</v>
      </c>
      <c r="U5" s="270" t="s">
        <v>5</v>
      </c>
      <c r="V5" s="370" t="s">
        <v>5</v>
      </c>
      <c r="W5" s="4" t="str">
        <f>IF(U5="TY","A",IF(U5="TY/TYs","AB",IF(U5="TYs", "B",IF(U5="TC","C",IF(U5="-","",)))))</f>
        <v/>
      </c>
    </row>
    <row r="6" spans="1:23" ht="15" customHeight="1">
      <c r="A6" s="339" t="s">
        <v>50</v>
      </c>
      <c r="B6" s="266">
        <v>1</v>
      </c>
      <c r="C6" s="28" t="s">
        <v>7</v>
      </c>
      <c r="D6" s="302" t="s">
        <v>5</v>
      </c>
      <c r="E6" s="127">
        <v>0</v>
      </c>
      <c r="F6" s="145">
        <v>0</v>
      </c>
      <c r="G6" s="146">
        <f>14*357.74</f>
        <v>5008.3600000000006</v>
      </c>
      <c r="H6" s="127">
        <f>3.95+10.25+(0.5+0.5)*6/7</f>
        <v>15.057142857142857</v>
      </c>
      <c r="I6" s="145">
        <f>14*357.74</f>
        <v>5008.3600000000006</v>
      </c>
      <c r="J6" s="146">
        <f>1128*14</f>
        <v>15792</v>
      </c>
      <c r="K6" s="127">
        <f>3.95+10.25+(0.5+0.5)*6/7+1</f>
        <v>16.057142857142857</v>
      </c>
      <c r="L6" s="145">
        <f>1128*14</f>
        <v>15792</v>
      </c>
      <c r="M6" s="146">
        <f>1230*14</f>
        <v>17220</v>
      </c>
      <c r="N6" s="127">
        <f>3.95+10.25+(0.5+0.5)*6/7+2</f>
        <v>17.057142857142857</v>
      </c>
      <c r="O6" s="145">
        <f>1230*14</f>
        <v>17220</v>
      </c>
      <c r="P6" s="146">
        <f>1384*14</f>
        <v>19376</v>
      </c>
      <c r="Q6" s="127">
        <f>3.95+10.25+(0.5+0.5)*6/7+3</f>
        <v>18.057142857142857</v>
      </c>
      <c r="R6" s="145">
        <f>1384*14</f>
        <v>19376</v>
      </c>
      <c r="S6" s="146">
        <f>4020*14</f>
        <v>56280</v>
      </c>
      <c r="T6" s="203">
        <f>S6*Q6/100</f>
        <v>10162.56</v>
      </c>
      <c r="U6" s="19" t="s">
        <v>6</v>
      </c>
      <c r="V6" s="371">
        <v>100</v>
      </c>
      <c r="W6" s="4" t="str">
        <f t="shared" ref="W6:W45" si="0">IF(U6="TY","A",IF(U6="TY/TYs","AB",IF(U6="TYs", "B",IF(U6="TC","C",IF(U6="-","",)))))</f>
        <v>A</v>
      </c>
    </row>
    <row r="7" spans="1:23" ht="15" customHeight="1">
      <c r="A7" s="235" t="s">
        <v>26</v>
      </c>
      <c r="B7" s="266">
        <v>1</v>
      </c>
      <c r="C7" s="19" t="s">
        <v>7</v>
      </c>
      <c r="D7" s="302" t="s">
        <v>5</v>
      </c>
      <c r="E7" s="127">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4" t="str">
        <f t="shared" si="0"/>
        <v>A</v>
      </c>
    </row>
    <row r="8" spans="1:23" ht="15" customHeight="1">
      <c r="A8" s="235" t="s">
        <v>49</v>
      </c>
      <c r="B8" s="266">
        <v>1</v>
      </c>
      <c r="C8" s="19" t="s">
        <v>8</v>
      </c>
      <c r="D8" s="303" t="s">
        <v>5</v>
      </c>
      <c r="E8" s="127">
        <f>0.0173*100</f>
        <v>1.73</v>
      </c>
      <c r="F8" s="145">
        <v>0</v>
      </c>
      <c r="G8" s="146">
        <v>3500</v>
      </c>
      <c r="H8" s="127">
        <f>E8+(0.0495*100)</f>
        <v>6.68</v>
      </c>
      <c r="I8" s="145">
        <f>G8</f>
        <v>3500</v>
      </c>
      <c r="J8" s="146">
        <f>731.79/0.0173</f>
        <v>42300</v>
      </c>
      <c r="K8" s="127">
        <f>0.0495*100</f>
        <v>4.95</v>
      </c>
      <c r="L8" s="402">
        <f>J8</f>
        <v>42300</v>
      </c>
      <c r="M8" s="146">
        <f>(2118.6/0.0495)+3500</f>
        <v>46299.999999999993</v>
      </c>
      <c r="N8" s="175" t="s">
        <v>5</v>
      </c>
      <c r="O8" s="400" t="s">
        <v>5</v>
      </c>
      <c r="P8" s="396" t="s">
        <v>5</v>
      </c>
      <c r="Q8" s="175" t="s">
        <v>5</v>
      </c>
      <c r="R8" s="400" t="s">
        <v>5</v>
      </c>
      <c r="S8" s="396" t="s">
        <v>5</v>
      </c>
      <c r="T8" s="203">
        <f>(G8-F8)*E8/100 + (J8-I8)*H8/100 + (M8-L8)*K8/100</f>
        <v>2850.39</v>
      </c>
      <c r="U8" s="67" t="s">
        <v>5</v>
      </c>
      <c r="V8" s="372" t="s">
        <v>5</v>
      </c>
      <c r="W8" s="4" t="str">
        <f t="shared" si="0"/>
        <v/>
      </c>
    </row>
    <row r="9" spans="1:23" ht="15" customHeight="1">
      <c r="A9" s="235" t="s">
        <v>66</v>
      </c>
      <c r="B9" s="266">
        <v>1</v>
      </c>
      <c r="C9" s="19" t="s">
        <v>7</v>
      </c>
      <c r="D9" s="303" t="s">
        <v>5</v>
      </c>
      <c r="E9" s="127">
        <f>0.07*100</f>
        <v>7.0000000000000009</v>
      </c>
      <c r="F9" s="145">
        <v>0</v>
      </c>
      <c r="G9" s="146">
        <f>15078874/12</f>
        <v>1256572.8333333333</v>
      </c>
      <c r="H9" s="175" t="s">
        <v>5</v>
      </c>
      <c r="I9" s="400" t="s">
        <v>5</v>
      </c>
      <c r="J9" s="396" t="s">
        <v>5</v>
      </c>
      <c r="K9" s="175" t="s">
        <v>5</v>
      </c>
      <c r="L9" s="400" t="s">
        <v>5</v>
      </c>
      <c r="M9" s="396" t="s">
        <v>5</v>
      </c>
      <c r="N9" s="175" t="s">
        <v>5</v>
      </c>
      <c r="O9" s="400" t="s">
        <v>5</v>
      </c>
      <c r="P9" s="396" t="s">
        <v>5</v>
      </c>
      <c r="Q9" s="175" t="s">
        <v>5</v>
      </c>
      <c r="R9" s="400" t="s">
        <v>5</v>
      </c>
      <c r="S9" s="396" t="s">
        <v>5</v>
      </c>
      <c r="T9" s="203">
        <f>E9/100*G9</f>
        <v>87960.098333333342</v>
      </c>
      <c r="U9" s="19" t="s">
        <v>5</v>
      </c>
      <c r="V9" s="371" t="s">
        <v>5</v>
      </c>
      <c r="W9" s="4" t="str">
        <f t="shared" si="0"/>
        <v/>
      </c>
    </row>
    <row r="10" spans="1:23" ht="15" customHeight="1">
      <c r="A10" s="235" t="s">
        <v>22</v>
      </c>
      <c r="B10" s="266">
        <v>1</v>
      </c>
      <c r="C10" s="28" t="s">
        <v>7</v>
      </c>
      <c r="D10" s="304" t="s">
        <v>5</v>
      </c>
      <c r="E10" s="127">
        <v>4.5</v>
      </c>
      <c r="F10" s="394">
        <v>0</v>
      </c>
      <c r="G10" s="115">
        <f>1130640/12</f>
        <v>94220</v>
      </c>
      <c r="H10" s="120" t="s">
        <v>5</v>
      </c>
      <c r="I10" s="219" t="s">
        <v>5</v>
      </c>
      <c r="J10" s="180" t="s">
        <v>5</v>
      </c>
      <c r="K10" s="120" t="s">
        <v>5</v>
      </c>
      <c r="L10" s="219" t="s">
        <v>5</v>
      </c>
      <c r="M10" s="180" t="s">
        <v>5</v>
      </c>
      <c r="N10" s="120" t="s">
        <v>5</v>
      </c>
      <c r="O10" s="219" t="s">
        <v>5</v>
      </c>
      <c r="P10" s="180" t="s">
        <v>5</v>
      </c>
      <c r="Q10" s="120" t="s">
        <v>5</v>
      </c>
      <c r="R10" s="219" t="s">
        <v>5</v>
      </c>
      <c r="S10" s="180" t="s">
        <v>5</v>
      </c>
      <c r="T10" s="203">
        <f>G10*E10/100</f>
        <v>4239.8999999999996</v>
      </c>
      <c r="U10" s="28" t="s">
        <v>5</v>
      </c>
      <c r="V10" s="373" t="s">
        <v>5</v>
      </c>
      <c r="W10" s="4" t="str">
        <f t="shared" si="0"/>
        <v/>
      </c>
    </row>
    <row r="11" spans="1:23" ht="15" customHeight="1">
      <c r="A11" s="235" t="s">
        <v>22</v>
      </c>
      <c r="B11" s="266">
        <v>2</v>
      </c>
      <c r="C11" s="28" t="s">
        <v>7</v>
      </c>
      <c r="D11" s="304" t="s">
        <v>5</v>
      </c>
      <c r="E11" s="127">
        <v>6.5</v>
      </c>
      <c r="F11" s="394">
        <v>0</v>
      </c>
      <c r="G11" s="115">
        <f>1130640/12</f>
        <v>94220</v>
      </c>
      <c r="H11" s="120" t="s">
        <v>5</v>
      </c>
      <c r="I11" s="219" t="s">
        <v>5</v>
      </c>
      <c r="J11" s="180" t="s">
        <v>5</v>
      </c>
      <c r="K11" s="120" t="s">
        <v>5</v>
      </c>
      <c r="L11" s="219" t="s">
        <v>5</v>
      </c>
      <c r="M11" s="180" t="s">
        <v>5</v>
      </c>
      <c r="N11" s="120" t="s">
        <v>5</v>
      </c>
      <c r="O11" s="219" t="s">
        <v>5</v>
      </c>
      <c r="P11" s="180" t="s">
        <v>5</v>
      </c>
      <c r="Q11" s="120" t="s">
        <v>5</v>
      </c>
      <c r="R11" s="219" t="s">
        <v>5</v>
      </c>
      <c r="S11" s="180" t="s">
        <v>5</v>
      </c>
      <c r="T11" s="203">
        <f>G11*E11/100</f>
        <v>6124.3</v>
      </c>
      <c r="U11" s="28" t="s">
        <v>5</v>
      </c>
      <c r="V11" s="373" t="s">
        <v>5</v>
      </c>
      <c r="W11" s="4" t="str">
        <f t="shared" si="0"/>
        <v/>
      </c>
    </row>
    <row r="12" spans="1:23" ht="15" customHeight="1">
      <c r="A12" s="235" t="s">
        <v>237</v>
      </c>
      <c r="B12" s="266">
        <v>1</v>
      </c>
      <c r="C12" s="19" t="s">
        <v>8</v>
      </c>
      <c r="D12" s="385">
        <v>1080</v>
      </c>
      <c r="E12" s="207" t="s">
        <v>5</v>
      </c>
      <c r="F12" s="395" t="s">
        <v>5</v>
      </c>
      <c r="G12" s="396" t="s">
        <v>5</v>
      </c>
      <c r="H12" s="175" t="s">
        <v>5</v>
      </c>
      <c r="I12" s="400" t="s">
        <v>5</v>
      </c>
      <c r="J12" s="396" t="s">
        <v>5</v>
      </c>
      <c r="K12" s="175" t="s">
        <v>5</v>
      </c>
      <c r="L12" s="400" t="s">
        <v>5</v>
      </c>
      <c r="M12" s="396" t="s">
        <v>5</v>
      </c>
      <c r="N12" s="175" t="s">
        <v>5</v>
      </c>
      <c r="O12" s="400" t="s">
        <v>5</v>
      </c>
      <c r="P12" s="396" t="s">
        <v>5</v>
      </c>
      <c r="Q12" s="175" t="s">
        <v>5</v>
      </c>
      <c r="R12" s="400" t="s">
        <v>5</v>
      </c>
      <c r="S12" s="396" t="s">
        <v>5</v>
      </c>
      <c r="T12" s="188" t="s">
        <v>5</v>
      </c>
      <c r="U12" s="19" t="s">
        <v>6</v>
      </c>
      <c r="V12" s="374">
        <v>100</v>
      </c>
      <c r="W12" s="4" t="str">
        <f t="shared" si="0"/>
        <v>A</v>
      </c>
    </row>
    <row r="13" spans="1:23" ht="15" customHeight="1">
      <c r="A13" s="235" t="s">
        <v>58</v>
      </c>
      <c r="B13" s="266">
        <v>1</v>
      </c>
      <c r="C13" s="19" t="s">
        <v>7</v>
      </c>
      <c r="D13" s="302" t="s">
        <v>5</v>
      </c>
      <c r="E13" s="127">
        <f>0.0175*100</f>
        <v>1.7500000000000002</v>
      </c>
      <c r="F13" s="392" t="s">
        <v>5</v>
      </c>
      <c r="G13" s="393" t="s">
        <v>5</v>
      </c>
      <c r="H13" s="175" t="s">
        <v>5</v>
      </c>
      <c r="I13" s="400" t="s">
        <v>5</v>
      </c>
      <c r="J13" s="396" t="s">
        <v>5</v>
      </c>
      <c r="K13" s="175" t="s">
        <v>5</v>
      </c>
      <c r="L13" s="400" t="s">
        <v>5</v>
      </c>
      <c r="M13" s="396" t="s">
        <v>5</v>
      </c>
      <c r="N13" s="175" t="s">
        <v>5</v>
      </c>
      <c r="O13" s="400" t="s">
        <v>5</v>
      </c>
      <c r="P13" s="396" t="s">
        <v>5</v>
      </c>
      <c r="Q13" s="175" t="s">
        <v>5</v>
      </c>
      <c r="R13" s="400" t="s">
        <v>5</v>
      </c>
      <c r="S13" s="396" t="s">
        <v>5</v>
      </c>
      <c r="T13" s="203" t="s">
        <v>5</v>
      </c>
      <c r="U13" s="19" t="s">
        <v>6</v>
      </c>
      <c r="V13" s="374">
        <v>100</v>
      </c>
      <c r="W13" s="4" t="str">
        <f t="shared" si="0"/>
        <v>A</v>
      </c>
    </row>
    <row r="14" spans="1:23" ht="15" customHeight="1">
      <c r="A14" s="235" t="s">
        <v>56</v>
      </c>
      <c r="B14" s="266">
        <v>1</v>
      </c>
      <c r="C14" s="19" t="s">
        <v>10</v>
      </c>
      <c r="D14" s="306" t="s">
        <v>5</v>
      </c>
      <c r="E14" s="127">
        <f>0.0128*100</f>
        <v>1.28</v>
      </c>
      <c r="F14" s="145" t="s">
        <v>5</v>
      </c>
      <c r="G14" s="146" t="s">
        <v>5</v>
      </c>
      <c r="H14" s="175" t="s">
        <v>5</v>
      </c>
      <c r="I14" s="400" t="s">
        <v>5</v>
      </c>
      <c r="J14" s="396" t="s">
        <v>5</v>
      </c>
      <c r="K14" s="175" t="s">
        <v>5</v>
      </c>
      <c r="L14" s="400" t="s">
        <v>5</v>
      </c>
      <c r="M14" s="396" t="s">
        <v>5</v>
      </c>
      <c r="N14" s="175" t="s">
        <v>5</v>
      </c>
      <c r="O14" s="400" t="s">
        <v>5</v>
      </c>
      <c r="P14" s="396" t="s">
        <v>5</v>
      </c>
      <c r="Q14" s="175" t="s">
        <v>5</v>
      </c>
      <c r="R14" s="400" t="s">
        <v>5</v>
      </c>
      <c r="S14" s="396" t="s">
        <v>5</v>
      </c>
      <c r="T14" s="203" t="s">
        <v>5</v>
      </c>
      <c r="U14" s="19" t="s">
        <v>5</v>
      </c>
      <c r="V14" s="371" t="s">
        <v>5</v>
      </c>
      <c r="W14" s="4" t="str">
        <f t="shared" si="0"/>
        <v/>
      </c>
    </row>
    <row r="15" spans="1:23" ht="15" customHeight="1">
      <c r="A15" s="235" t="s">
        <v>56</v>
      </c>
      <c r="B15" s="266">
        <v>2</v>
      </c>
      <c r="C15" s="19" t="s">
        <v>8</v>
      </c>
      <c r="D15" s="306" t="s">
        <v>5</v>
      </c>
      <c r="E15" s="127">
        <f>0.052*100</f>
        <v>5.2</v>
      </c>
      <c r="F15" s="145" t="s">
        <v>5</v>
      </c>
      <c r="G15" s="146" t="s">
        <v>5</v>
      </c>
      <c r="H15" s="175" t="s">
        <v>5</v>
      </c>
      <c r="I15" s="400" t="s">
        <v>5</v>
      </c>
      <c r="J15" s="396" t="s">
        <v>5</v>
      </c>
      <c r="K15" s="175" t="s">
        <v>5</v>
      </c>
      <c r="L15" s="400" t="s">
        <v>5</v>
      </c>
      <c r="M15" s="396" t="s">
        <v>5</v>
      </c>
      <c r="N15" s="175" t="s">
        <v>5</v>
      </c>
      <c r="O15" s="400" t="s">
        <v>5</v>
      </c>
      <c r="P15" s="396" t="s">
        <v>5</v>
      </c>
      <c r="Q15" s="175" t="s">
        <v>5</v>
      </c>
      <c r="R15" s="400" t="s">
        <v>5</v>
      </c>
      <c r="S15" s="396" t="s">
        <v>5</v>
      </c>
      <c r="T15" s="203" t="s">
        <v>5</v>
      </c>
      <c r="U15" s="19" t="s">
        <v>6</v>
      </c>
      <c r="V15" s="371">
        <v>100</v>
      </c>
      <c r="W15" s="4" t="str">
        <f t="shared" si="0"/>
        <v>A</v>
      </c>
    </row>
    <row r="16" spans="1:23" ht="15" customHeight="1">
      <c r="A16" s="235" t="s">
        <v>52</v>
      </c>
      <c r="B16" s="266">
        <v>1</v>
      </c>
      <c r="C16" s="19" t="s">
        <v>8</v>
      </c>
      <c r="D16" s="303" t="s">
        <v>5</v>
      </c>
      <c r="E16" s="127">
        <f>(0.0665+0.0075+0.024+0.038+0.001)*100</f>
        <v>13.700000000000001</v>
      </c>
      <c r="F16" s="145">
        <v>0</v>
      </c>
      <c r="G16" s="146">
        <v>34308</v>
      </c>
      <c r="H16" s="127">
        <f>(0.0075+0.024+0.089+0.001)*100</f>
        <v>12.15</v>
      </c>
      <c r="I16" s="145">
        <f>+G16</f>
        <v>34308</v>
      </c>
      <c r="J16" s="146">
        <f>3*G16</f>
        <v>102924</v>
      </c>
      <c r="K16" s="127">
        <f>(0.0075+0.024+0.001)*100</f>
        <v>3.25</v>
      </c>
      <c r="L16" s="145">
        <f>+J16</f>
        <v>102924</v>
      </c>
      <c r="M16" s="146">
        <f>4*G16</f>
        <v>137232</v>
      </c>
      <c r="N16" s="127">
        <f>(0.0075+0.001)*100</f>
        <v>0.85000000000000009</v>
      </c>
      <c r="O16" s="145">
        <f>+M16</f>
        <v>137232</v>
      </c>
      <c r="P16" s="396" t="s">
        <v>5</v>
      </c>
      <c r="Q16" s="175" t="s">
        <v>5</v>
      </c>
      <c r="R16" s="400" t="s">
        <v>5</v>
      </c>
      <c r="S16" s="396" t="s">
        <v>5</v>
      </c>
      <c r="T16" s="188" t="s">
        <v>5</v>
      </c>
      <c r="U16" s="19" t="s">
        <v>6</v>
      </c>
      <c r="V16" s="371">
        <f>E16*100/E16</f>
        <v>99.999999999999986</v>
      </c>
      <c r="W16" s="4" t="str">
        <f t="shared" si="0"/>
        <v>A</v>
      </c>
    </row>
    <row r="17" spans="1:23" ht="15" customHeight="1">
      <c r="A17" s="272" t="s">
        <v>54</v>
      </c>
      <c r="B17" s="266">
        <v>1</v>
      </c>
      <c r="C17" s="19" t="s">
        <v>8</v>
      </c>
      <c r="D17" s="303" t="s">
        <v>5</v>
      </c>
      <c r="E17" s="127">
        <f>(0.0995+0.082+0.014+0.00975)*100</f>
        <v>20.525000000000002</v>
      </c>
      <c r="F17" s="145">
        <v>0</v>
      </c>
      <c r="G17" s="146">
        <v>44100</v>
      </c>
      <c r="H17" s="127">
        <f>(0.0995+0.014)*100</f>
        <v>11.35</v>
      </c>
      <c r="I17" s="145">
        <v>44100</v>
      </c>
      <c r="J17" s="146">
        <v>64800</v>
      </c>
      <c r="K17" s="175" t="s">
        <v>5</v>
      </c>
      <c r="L17" s="400" t="s">
        <v>5</v>
      </c>
      <c r="M17" s="396" t="s">
        <v>5</v>
      </c>
      <c r="N17" s="175" t="s">
        <v>5</v>
      </c>
      <c r="O17" s="400" t="s">
        <v>5</v>
      </c>
      <c r="P17" s="396" t="s">
        <v>5</v>
      </c>
      <c r="Q17" s="175" t="s">
        <v>5</v>
      </c>
      <c r="R17" s="400" t="s">
        <v>5</v>
      </c>
      <c r="S17" s="396" t="s">
        <v>5</v>
      </c>
      <c r="T17" s="203">
        <f>(G17-F17)*E17/100 + (J17-I17)*H17/100</f>
        <v>11400.975000000002</v>
      </c>
      <c r="U17" s="19" t="s">
        <v>6</v>
      </c>
      <c r="V17" s="375" t="s">
        <v>219</v>
      </c>
      <c r="W17" s="4" t="str">
        <f t="shared" si="0"/>
        <v>A</v>
      </c>
    </row>
    <row r="18" spans="1:23" ht="15" customHeight="1">
      <c r="A18" s="235" t="s">
        <v>53</v>
      </c>
      <c r="B18" s="266">
        <v>1</v>
      </c>
      <c r="C18" s="19" t="s">
        <v>7</v>
      </c>
      <c r="D18" s="306" t="s">
        <v>5</v>
      </c>
      <c r="E18" s="127">
        <v>16</v>
      </c>
      <c r="F18" s="114">
        <v>0</v>
      </c>
      <c r="G18" s="115">
        <f>77606.9/14</f>
        <v>5543.3499999999995</v>
      </c>
      <c r="H18" s="120" t="s">
        <v>5</v>
      </c>
      <c r="I18" s="219" t="s">
        <v>5</v>
      </c>
      <c r="J18" s="180" t="s">
        <v>5</v>
      </c>
      <c r="K18" s="120" t="s">
        <v>5</v>
      </c>
      <c r="L18" s="219" t="s">
        <v>5</v>
      </c>
      <c r="M18" s="180" t="s">
        <v>5</v>
      </c>
      <c r="N18" s="120" t="s">
        <v>5</v>
      </c>
      <c r="O18" s="219" t="s">
        <v>5</v>
      </c>
      <c r="P18" s="180" t="s">
        <v>5</v>
      </c>
      <c r="Q18" s="120" t="s">
        <v>5</v>
      </c>
      <c r="R18" s="219" t="s">
        <v>5</v>
      </c>
      <c r="S18" s="180" t="s">
        <v>5</v>
      </c>
      <c r="T18" s="203">
        <f>G18*E18/100</f>
        <v>886.93599999999992</v>
      </c>
      <c r="U18" s="19" t="s">
        <v>6</v>
      </c>
      <c r="V18" s="371">
        <v>100</v>
      </c>
      <c r="W18" s="4" t="str">
        <f t="shared" si="0"/>
        <v>A</v>
      </c>
    </row>
    <row r="19" spans="1:23" ht="15" customHeight="1">
      <c r="A19" s="235" t="s">
        <v>23</v>
      </c>
      <c r="B19" s="266">
        <v>1</v>
      </c>
      <c r="C19" s="19" t="s">
        <v>8</v>
      </c>
      <c r="D19" s="302" t="s">
        <v>5</v>
      </c>
      <c r="E19" s="127">
        <f>0.095*100</f>
        <v>9.5</v>
      </c>
      <c r="F19" s="145">
        <v>0</v>
      </c>
      <c r="G19" s="146">
        <v>7446000</v>
      </c>
      <c r="H19" s="175" t="s">
        <v>5</v>
      </c>
      <c r="I19" s="400" t="s">
        <v>5</v>
      </c>
      <c r="J19" s="396" t="s">
        <v>5</v>
      </c>
      <c r="K19" s="175" t="s">
        <v>5</v>
      </c>
      <c r="L19" s="400" t="s">
        <v>5</v>
      </c>
      <c r="M19" s="396" t="s">
        <v>5</v>
      </c>
      <c r="N19" s="175" t="s">
        <v>5</v>
      </c>
      <c r="O19" s="400" t="s">
        <v>5</v>
      </c>
      <c r="P19" s="396" t="s">
        <v>5</v>
      </c>
      <c r="Q19" s="175" t="s">
        <v>5</v>
      </c>
      <c r="R19" s="400" t="s">
        <v>5</v>
      </c>
      <c r="S19" s="396" t="s">
        <v>5</v>
      </c>
      <c r="T19" s="203">
        <f>+G19*E19/100</f>
        <v>707370</v>
      </c>
      <c r="U19" s="23" t="s">
        <v>5</v>
      </c>
      <c r="V19" s="374" t="s">
        <v>5</v>
      </c>
      <c r="W19" s="4" t="str">
        <f t="shared" si="0"/>
        <v/>
      </c>
    </row>
    <row r="20" spans="1:23" ht="15" customHeight="1">
      <c r="A20" s="235" t="s">
        <v>23</v>
      </c>
      <c r="B20" s="266">
        <v>2</v>
      </c>
      <c r="C20" s="19" t="s">
        <v>8</v>
      </c>
      <c r="D20" s="302" t="s">
        <v>5</v>
      </c>
      <c r="E20" s="127">
        <f>(0.06+0.015)*100</f>
        <v>7.5</v>
      </c>
      <c r="F20" s="145" t="s">
        <v>5</v>
      </c>
      <c r="G20" s="146" t="s">
        <v>5</v>
      </c>
      <c r="H20" s="175" t="s">
        <v>5</v>
      </c>
      <c r="I20" s="400" t="s">
        <v>5</v>
      </c>
      <c r="J20" s="396" t="s">
        <v>5</v>
      </c>
      <c r="K20" s="175" t="s">
        <v>5</v>
      </c>
      <c r="L20" s="400" t="s">
        <v>5</v>
      </c>
      <c r="M20" s="396" t="s">
        <v>5</v>
      </c>
      <c r="N20" s="175" t="s">
        <v>5</v>
      </c>
      <c r="O20" s="400" t="s">
        <v>5</v>
      </c>
      <c r="P20" s="396" t="s">
        <v>5</v>
      </c>
      <c r="Q20" s="175" t="s">
        <v>5</v>
      </c>
      <c r="R20" s="400" t="s">
        <v>5</v>
      </c>
      <c r="S20" s="396" t="s">
        <v>5</v>
      </c>
      <c r="T20" s="203" t="s">
        <v>5</v>
      </c>
      <c r="U20" s="23" t="s">
        <v>5</v>
      </c>
      <c r="V20" s="374" t="s">
        <v>5</v>
      </c>
      <c r="W20" s="4" t="str">
        <f t="shared" si="0"/>
        <v/>
      </c>
    </row>
    <row r="21" spans="1:23" ht="15" customHeight="1">
      <c r="A21" s="235" t="s">
        <v>68</v>
      </c>
      <c r="B21" s="266">
        <v>1</v>
      </c>
      <c r="C21" s="28" t="s">
        <v>6</v>
      </c>
      <c r="D21" s="385">
        <f>8400+17200</f>
        <v>25600</v>
      </c>
      <c r="E21" s="127" t="s">
        <v>24</v>
      </c>
      <c r="F21" s="145">
        <v>1361468</v>
      </c>
      <c r="G21" s="115" t="s">
        <v>24</v>
      </c>
      <c r="H21" s="120" t="s">
        <v>5</v>
      </c>
      <c r="I21" s="219" t="s">
        <v>5</v>
      </c>
      <c r="J21" s="180" t="s">
        <v>5</v>
      </c>
      <c r="K21" s="120" t="s">
        <v>5</v>
      </c>
      <c r="L21" s="219" t="s">
        <v>5</v>
      </c>
      <c r="M21" s="180" t="s">
        <v>5</v>
      </c>
      <c r="N21" s="120" t="s">
        <v>5</v>
      </c>
      <c r="O21" s="219" t="s">
        <v>5</v>
      </c>
      <c r="P21" s="180" t="s">
        <v>5</v>
      </c>
      <c r="Q21" s="120" t="s">
        <v>5</v>
      </c>
      <c r="R21" s="219" t="s">
        <v>5</v>
      </c>
      <c r="S21" s="180" t="s">
        <v>5</v>
      </c>
      <c r="T21" s="203" t="s">
        <v>24</v>
      </c>
      <c r="U21" s="54" t="s">
        <v>5</v>
      </c>
      <c r="V21" s="374" t="s">
        <v>5</v>
      </c>
      <c r="W21" s="4" t="str">
        <f t="shared" si="0"/>
        <v/>
      </c>
    </row>
    <row r="22" spans="1:23" ht="15" customHeight="1">
      <c r="A22" s="235" t="s">
        <v>68</v>
      </c>
      <c r="B22" s="266">
        <v>2</v>
      </c>
      <c r="C22" s="28" t="s">
        <v>8</v>
      </c>
      <c r="D22" s="386" t="s">
        <v>5</v>
      </c>
      <c r="E22" s="127">
        <v>8</v>
      </c>
      <c r="F22" s="392" t="s">
        <v>5</v>
      </c>
      <c r="G22" s="317" t="s">
        <v>5</v>
      </c>
      <c r="H22" s="120" t="s">
        <v>5</v>
      </c>
      <c r="I22" s="219" t="s">
        <v>5</v>
      </c>
      <c r="J22" s="180" t="s">
        <v>5</v>
      </c>
      <c r="K22" s="120" t="s">
        <v>5</v>
      </c>
      <c r="L22" s="219" t="s">
        <v>5</v>
      </c>
      <c r="M22" s="180" t="s">
        <v>5</v>
      </c>
      <c r="N22" s="120" t="s">
        <v>5</v>
      </c>
      <c r="O22" s="219" t="s">
        <v>5</v>
      </c>
      <c r="P22" s="180" t="s">
        <v>5</v>
      </c>
      <c r="Q22" s="120" t="s">
        <v>5</v>
      </c>
      <c r="R22" s="219" t="s">
        <v>5</v>
      </c>
      <c r="S22" s="180" t="s">
        <v>5</v>
      </c>
      <c r="T22" s="203" t="s">
        <v>5</v>
      </c>
      <c r="U22" s="19" t="s">
        <v>6</v>
      </c>
      <c r="V22" s="371">
        <v>100</v>
      </c>
      <c r="W22" s="4" t="str">
        <f t="shared" si="0"/>
        <v>A</v>
      </c>
    </row>
    <row r="23" spans="1:23" ht="15" customHeight="1">
      <c r="A23" s="235" t="s">
        <v>92</v>
      </c>
      <c r="B23" s="266">
        <v>1</v>
      </c>
      <c r="C23" s="28" t="s">
        <v>8</v>
      </c>
      <c r="D23" s="303" t="s">
        <v>5</v>
      </c>
      <c r="E23" s="127">
        <f>0.0333*100</f>
        <v>3.3300000000000005</v>
      </c>
      <c r="F23" s="145">
        <v>26000</v>
      </c>
      <c r="G23" s="146">
        <v>75036</v>
      </c>
      <c r="H23" s="127">
        <f>0.04*100</f>
        <v>4</v>
      </c>
      <c r="I23" s="145">
        <f>G23</f>
        <v>75036</v>
      </c>
      <c r="J23" s="146">
        <v>100100</v>
      </c>
      <c r="K23" s="127">
        <f>0.0417*100</f>
        <v>4.17</v>
      </c>
      <c r="L23" s="145">
        <f>J23</f>
        <v>100100</v>
      </c>
      <c r="M23" s="146" t="s">
        <v>5</v>
      </c>
      <c r="N23" s="175" t="s">
        <v>5</v>
      </c>
      <c r="O23" s="400" t="s">
        <v>5</v>
      </c>
      <c r="P23" s="396" t="s">
        <v>5</v>
      </c>
      <c r="Q23" s="175" t="s">
        <v>5</v>
      </c>
      <c r="R23" s="400" t="s">
        <v>5</v>
      </c>
      <c r="S23" s="396" t="s">
        <v>5</v>
      </c>
      <c r="T23" s="188" t="s">
        <v>5</v>
      </c>
      <c r="U23" s="67" t="s">
        <v>5</v>
      </c>
      <c r="V23" s="372" t="s">
        <v>5</v>
      </c>
      <c r="W23" s="4" t="str">
        <f t="shared" si="0"/>
        <v/>
      </c>
    </row>
    <row r="24" spans="1:23" ht="15" customHeight="1">
      <c r="A24" s="235" t="s">
        <v>92</v>
      </c>
      <c r="B24" s="266">
        <v>2</v>
      </c>
      <c r="C24" s="28" t="s">
        <v>8</v>
      </c>
      <c r="D24" s="302" t="s">
        <v>5</v>
      </c>
      <c r="E24" s="127">
        <f>0.04*100</f>
        <v>4</v>
      </c>
      <c r="F24" s="397" t="s">
        <v>77</v>
      </c>
      <c r="G24" s="115">
        <v>67357</v>
      </c>
      <c r="H24" s="120" t="s">
        <v>5</v>
      </c>
      <c r="I24" s="219" t="s">
        <v>5</v>
      </c>
      <c r="J24" s="180" t="s">
        <v>5</v>
      </c>
      <c r="K24" s="120" t="s">
        <v>5</v>
      </c>
      <c r="L24" s="219" t="s">
        <v>5</v>
      </c>
      <c r="M24" s="180" t="s">
        <v>5</v>
      </c>
      <c r="N24" s="120" t="s">
        <v>5</v>
      </c>
      <c r="O24" s="219" t="s">
        <v>5</v>
      </c>
      <c r="P24" s="180" t="s">
        <v>5</v>
      </c>
      <c r="Q24" s="120" t="s">
        <v>5</v>
      </c>
      <c r="R24" s="219" t="s">
        <v>5</v>
      </c>
      <c r="S24" s="180" t="s">
        <v>5</v>
      </c>
      <c r="T24" s="203">
        <f>E24*G24/100</f>
        <v>2694.28</v>
      </c>
      <c r="U24" s="23" t="s">
        <v>5</v>
      </c>
      <c r="V24" s="374" t="s">
        <v>5</v>
      </c>
      <c r="W24" s="4" t="str">
        <f t="shared" si="0"/>
        <v/>
      </c>
    </row>
    <row r="25" spans="1:23" ht="15" customHeight="1">
      <c r="A25" s="235" t="s">
        <v>69</v>
      </c>
      <c r="B25" s="266">
        <v>1</v>
      </c>
      <c r="C25" s="19" t="s">
        <v>7</v>
      </c>
      <c r="D25" s="303" t="s">
        <v>5</v>
      </c>
      <c r="E25" s="127">
        <f>0.035*100</f>
        <v>3.5000000000000004</v>
      </c>
      <c r="F25" s="145">
        <v>0</v>
      </c>
      <c r="G25" s="146">
        <f>57084/100</f>
        <v>570.84</v>
      </c>
      <c r="H25" s="127">
        <f>0.12*100</f>
        <v>12</v>
      </c>
      <c r="I25" s="145">
        <f>G25</f>
        <v>570.84</v>
      </c>
      <c r="J25" s="146">
        <f>460980/100</f>
        <v>4609.8</v>
      </c>
      <c r="K25" s="127">
        <f>0.05*100</f>
        <v>5</v>
      </c>
      <c r="L25" s="145">
        <f>J25</f>
        <v>4609.8</v>
      </c>
      <c r="M25" s="146">
        <f>921960/100</f>
        <v>9219.6</v>
      </c>
      <c r="N25" s="175" t="s">
        <v>5</v>
      </c>
      <c r="O25" s="400" t="s">
        <v>5</v>
      </c>
      <c r="P25" s="396" t="s">
        <v>5</v>
      </c>
      <c r="Q25" s="175" t="s">
        <v>5</v>
      </c>
      <c r="R25" s="400" t="s">
        <v>5</v>
      </c>
      <c r="S25" s="396" t="s">
        <v>5</v>
      </c>
      <c r="T25" s="203">
        <f>+E25/100*G25+H25/100*(J25-I25)+K25/100*(M25-L25)</f>
        <v>735.14459999999997</v>
      </c>
      <c r="U25" s="67" t="s">
        <v>5</v>
      </c>
      <c r="V25" s="372" t="s">
        <v>5</v>
      </c>
      <c r="W25" s="4" t="str">
        <f t="shared" si="0"/>
        <v/>
      </c>
    </row>
    <row r="26" spans="1:23" ht="15" customHeight="1">
      <c r="A26" s="235" t="s">
        <v>13</v>
      </c>
      <c r="B26" s="266">
        <v>1</v>
      </c>
      <c r="C26" s="19" t="s">
        <v>8</v>
      </c>
      <c r="D26" s="303" t="s">
        <v>5</v>
      </c>
      <c r="E26" s="127">
        <f>0.0949*100</f>
        <v>9.49</v>
      </c>
      <c r="F26" s="145">
        <v>0</v>
      </c>
      <c r="G26" s="146">
        <v>42069</v>
      </c>
      <c r="H26" s="127">
        <f>0.1049*100</f>
        <v>10.489999999999998</v>
      </c>
      <c r="I26" s="145">
        <f>G26</f>
        <v>42069</v>
      </c>
      <c r="J26" s="146">
        <v>91507</v>
      </c>
      <c r="K26" s="175" t="s">
        <v>5</v>
      </c>
      <c r="L26" s="400" t="s">
        <v>5</v>
      </c>
      <c r="M26" s="396" t="s">
        <v>5</v>
      </c>
      <c r="N26" s="175" t="s">
        <v>5</v>
      </c>
      <c r="O26" s="400" t="s">
        <v>5</v>
      </c>
      <c r="P26" s="396" t="s">
        <v>5</v>
      </c>
      <c r="Q26" s="175" t="s">
        <v>5</v>
      </c>
      <c r="R26" s="400" t="s">
        <v>5</v>
      </c>
      <c r="S26" s="396" t="s">
        <v>5</v>
      </c>
      <c r="T26" s="203">
        <f>((E26/100)*G26)+(H26/100)*(J26-I26)</f>
        <v>9178.3942999999981</v>
      </c>
      <c r="U26" s="279" t="s">
        <v>6</v>
      </c>
      <c r="V26" s="374">
        <v>100</v>
      </c>
      <c r="W26" s="4" t="str">
        <f t="shared" si="0"/>
        <v>A</v>
      </c>
    </row>
    <row r="27" spans="1:23" s="2" customFormat="1" ht="15" customHeight="1">
      <c r="A27" s="235" t="s">
        <v>14</v>
      </c>
      <c r="B27" s="266">
        <v>1</v>
      </c>
      <c r="C27" s="19" t="s">
        <v>7</v>
      </c>
      <c r="D27" s="306" t="s">
        <v>5</v>
      </c>
      <c r="E27" s="127">
        <f>0.07675*100+H27</f>
        <v>12.175000000000001</v>
      </c>
      <c r="F27" s="145">
        <v>0</v>
      </c>
      <c r="G27" s="146">
        <f>7440000/12</f>
        <v>620000</v>
      </c>
      <c r="H27" s="127">
        <f>0.041*100+K27</f>
        <v>4.5000000000000009</v>
      </c>
      <c r="I27" s="145">
        <f>G27</f>
        <v>620000</v>
      </c>
      <c r="J27" s="146">
        <f>14520000/12</f>
        <v>1210000</v>
      </c>
      <c r="K27" s="127">
        <f>0.004*100</f>
        <v>0.4</v>
      </c>
      <c r="L27" s="145">
        <f>J27</f>
        <v>1210000</v>
      </c>
      <c r="M27" s="180" t="s">
        <v>5</v>
      </c>
      <c r="N27" s="175" t="s">
        <v>5</v>
      </c>
      <c r="O27" s="400" t="s">
        <v>5</v>
      </c>
      <c r="P27" s="396" t="s">
        <v>5</v>
      </c>
      <c r="Q27" s="175" t="s">
        <v>5</v>
      </c>
      <c r="R27" s="400" t="s">
        <v>5</v>
      </c>
      <c r="S27" s="396" t="s">
        <v>5</v>
      </c>
      <c r="T27" s="202" t="s">
        <v>5</v>
      </c>
      <c r="U27" s="19" t="s">
        <v>6</v>
      </c>
      <c r="V27" s="371">
        <v>100</v>
      </c>
      <c r="W27" s="4" t="str">
        <f t="shared" si="0"/>
        <v>A</v>
      </c>
    </row>
    <row r="28" spans="1:23" s="2" customFormat="1" ht="15" customHeight="1">
      <c r="A28" s="235" t="s">
        <v>15</v>
      </c>
      <c r="B28" s="266">
        <v>1</v>
      </c>
      <c r="C28" s="28" t="s">
        <v>7</v>
      </c>
      <c r="D28" s="303" t="s">
        <v>5</v>
      </c>
      <c r="E28" s="127">
        <f>(0.045*100)+H28</f>
        <v>7.6109999999999998</v>
      </c>
      <c r="F28" s="145">
        <v>0</v>
      </c>
      <c r="G28" s="146">
        <f>(1944000/0.045)/12</f>
        <v>3600000</v>
      </c>
      <c r="H28" s="127">
        <f>(0.02661*100)+K28</f>
        <v>3.1109999999999998</v>
      </c>
      <c r="I28" s="145">
        <f>G28</f>
        <v>3600000</v>
      </c>
      <c r="J28" s="146">
        <f>(21008063/0.02661)/12</f>
        <v>65790000.626330949</v>
      </c>
      <c r="K28" s="3">
        <f>0.0045*100</f>
        <v>0.44999999999999996</v>
      </c>
      <c r="L28" s="145">
        <f>J28</f>
        <v>65790000.626330949</v>
      </c>
      <c r="M28" s="396" t="s">
        <v>5</v>
      </c>
      <c r="N28" s="175" t="s">
        <v>5</v>
      </c>
      <c r="O28" s="400" t="s">
        <v>5</v>
      </c>
      <c r="P28" s="396" t="s">
        <v>5</v>
      </c>
      <c r="Q28" s="175" t="s">
        <v>5</v>
      </c>
      <c r="R28" s="400" t="s">
        <v>5</v>
      </c>
      <c r="S28" s="396" t="s">
        <v>5</v>
      </c>
      <c r="T28" s="199" t="s">
        <v>5</v>
      </c>
      <c r="U28" s="19" t="s">
        <v>6</v>
      </c>
      <c r="V28" s="371">
        <v>100</v>
      </c>
      <c r="W28" s="4" t="str">
        <f t="shared" si="0"/>
        <v>A</v>
      </c>
    </row>
    <row r="29" spans="1:23" s="40" customFormat="1">
      <c r="A29" s="513" t="s">
        <v>282</v>
      </c>
      <c r="B29" s="500">
        <v>1</v>
      </c>
      <c r="C29" s="30" t="s">
        <v>8</v>
      </c>
      <c r="D29" s="502" t="s">
        <v>5</v>
      </c>
      <c r="E29" s="503">
        <v>9</v>
      </c>
      <c r="F29" s="400" t="s">
        <v>5</v>
      </c>
      <c r="G29" s="396" t="s">
        <v>5</v>
      </c>
      <c r="H29" s="501"/>
      <c r="I29" s="504"/>
      <c r="J29" s="505"/>
      <c r="K29" s="501"/>
      <c r="L29" s="504"/>
      <c r="M29" s="505"/>
      <c r="N29" s="506"/>
      <c r="O29" s="504"/>
      <c r="P29" s="505"/>
      <c r="Q29" s="506"/>
      <c r="R29" s="504"/>
      <c r="S29" s="505"/>
      <c r="T29" s="507"/>
      <c r="U29" s="62" t="s">
        <v>6</v>
      </c>
      <c r="V29" s="375">
        <v>100</v>
      </c>
      <c r="W29" s="30" t="str">
        <f t="shared" si="0"/>
        <v>A</v>
      </c>
    </row>
    <row r="30" spans="1:23" ht="15" customHeight="1">
      <c r="A30" s="235" t="s">
        <v>70</v>
      </c>
      <c r="B30" s="266">
        <v>1</v>
      </c>
      <c r="C30" s="19" t="s">
        <v>8</v>
      </c>
      <c r="D30" s="303" t="s">
        <v>5</v>
      </c>
      <c r="E30" s="127">
        <f>0.1095*100</f>
        <v>10.95</v>
      </c>
      <c r="F30" s="145">
        <v>0</v>
      </c>
      <c r="G30" s="146">
        <v>100555.4</v>
      </c>
      <c r="H30" s="175" t="s">
        <v>5</v>
      </c>
      <c r="I30" s="400" t="s">
        <v>5</v>
      </c>
      <c r="J30" s="396" t="s">
        <v>5</v>
      </c>
      <c r="K30" s="175" t="s">
        <v>5</v>
      </c>
      <c r="L30" s="400" t="s">
        <v>5</v>
      </c>
      <c r="M30" s="396" t="s">
        <v>5</v>
      </c>
      <c r="N30" s="175" t="s">
        <v>5</v>
      </c>
      <c r="O30" s="400" t="s">
        <v>5</v>
      </c>
      <c r="P30" s="396" t="s">
        <v>5</v>
      </c>
      <c r="Q30" s="175" t="s">
        <v>5</v>
      </c>
      <c r="R30" s="400" t="s">
        <v>5</v>
      </c>
      <c r="S30" s="396" t="s">
        <v>5</v>
      </c>
      <c r="T30" s="202">
        <f>+G30*E30/100</f>
        <v>11010.816299999999</v>
      </c>
      <c r="U30" s="28" t="s">
        <v>6</v>
      </c>
      <c r="V30" s="373">
        <v>100</v>
      </c>
      <c r="W30" s="4" t="str">
        <f t="shared" si="0"/>
        <v>A</v>
      </c>
    </row>
    <row r="31" spans="1:23" ht="15" customHeight="1">
      <c r="A31" s="235" t="s">
        <v>70</v>
      </c>
      <c r="B31" s="266">
        <v>2</v>
      </c>
      <c r="C31" s="19" t="s">
        <v>8</v>
      </c>
      <c r="D31" s="304" t="s">
        <v>5</v>
      </c>
      <c r="E31" s="127">
        <f>0.014*100</f>
        <v>1.4000000000000001</v>
      </c>
      <c r="F31" s="145">
        <f>0.25*20111.08</f>
        <v>5027.7700000000004</v>
      </c>
      <c r="G31" s="180" t="s">
        <v>5</v>
      </c>
      <c r="H31" s="120" t="s">
        <v>5</v>
      </c>
      <c r="I31" s="219" t="s">
        <v>5</v>
      </c>
      <c r="J31" s="180" t="s">
        <v>5</v>
      </c>
      <c r="K31" s="120" t="s">
        <v>5</v>
      </c>
      <c r="L31" s="219" t="s">
        <v>5</v>
      </c>
      <c r="M31" s="180" t="s">
        <v>5</v>
      </c>
      <c r="N31" s="120" t="s">
        <v>5</v>
      </c>
      <c r="O31" s="219" t="s">
        <v>5</v>
      </c>
      <c r="P31" s="180" t="s">
        <v>5</v>
      </c>
      <c r="Q31" s="120" t="s">
        <v>5</v>
      </c>
      <c r="R31" s="219" t="s">
        <v>5</v>
      </c>
      <c r="S31" s="180" t="s">
        <v>5</v>
      </c>
      <c r="T31" s="202" t="s">
        <v>5</v>
      </c>
      <c r="U31" s="7" t="s">
        <v>5</v>
      </c>
      <c r="V31" s="376" t="s">
        <v>5</v>
      </c>
      <c r="W31" s="4" t="str">
        <f t="shared" si="0"/>
        <v/>
      </c>
    </row>
    <row r="32" spans="1:23" s="2" customFormat="1" ht="15" customHeight="1">
      <c r="A32" s="235" t="s">
        <v>71</v>
      </c>
      <c r="B32" s="266">
        <v>1</v>
      </c>
      <c r="C32" s="19" t="s">
        <v>7</v>
      </c>
      <c r="D32" s="306" t="s">
        <v>5</v>
      </c>
      <c r="E32" s="127">
        <f>0.625+0.625</f>
        <v>1.25</v>
      </c>
      <c r="F32" s="114">
        <v>0</v>
      </c>
      <c r="G32" s="115">
        <f>3*54.8*(365/12)</f>
        <v>5000.4999999999991</v>
      </c>
      <c r="H32" s="127">
        <f>E32+0.4</f>
        <v>1.65</v>
      </c>
      <c r="I32" s="114">
        <f>G32</f>
        <v>5000.4999999999991</v>
      </c>
      <c r="J32" s="115">
        <f>25*54.8*(365/12)</f>
        <v>41670.833333333336</v>
      </c>
      <c r="K32" s="120" t="s">
        <v>5</v>
      </c>
      <c r="L32" s="219" t="s">
        <v>5</v>
      </c>
      <c r="M32" s="180" t="s">
        <v>5</v>
      </c>
      <c r="N32" s="120" t="s">
        <v>5</v>
      </c>
      <c r="O32" s="219" t="s">
        <v>5</v>
      </c>
      <c r="P32" s="180" t="s">
        <v>5</v>
      </c>
      <c r="Q32" s="120" t="s">
        <v>5</v>
      </c>
      <c r="R32" s="219" t="s">
        <v>5</v>
      </c>
      <c r="S32" s="180" t="s">
        <v>5</v>
      </c>
      <c r="T32" s="202">
        <f>E32/100*G32+H32/100*(J32-I32)</f>
        <v>667.56675000000007</v>
      </c>
      <c r="U32" s="335" t="s">
        <v>5</v>
      </c>
      <c r="V32" s="343" t="s">
        <v>5</v>
      </c>
      <c r="W32" s="4" t="str">
        <f t="shared" si="0"/>
        <v/>
      </c>
    </row>
    <row r="33" spans="1:23" ht="15" customHeight="1">
      <c r="A33" s="339" t="s">
        <v>60</v>
      </c>
      <c r="B33" s="266">
        <v>1</v>
      </c>
      <c r="C33" s="28" t="s">
        <v>6</v>
      </c>
      <c r="D33" s="304" t="s">
        <v>5</v>
      </c>
      <c r="E33" s="127">
        <f>(0.179+0.011+0.1215)*100</f>
        <v>31.15</v>
      </c>
      <c r="F33" s="319">
        <v>0</v>
      </c>
      <c r="G33" s="115">
        <v>32127</v>
      </c>
      <c r="H33" s="120" t="s">
        <v>5</v>
      </c>
      <c r="I33" s="219" t="s">
        <v>5</v>
      </c>
      <c r="J33" s="180" t="s">
        <v>5</v>
      </c>
      <c r="K33" s="120" t="s">
        <v>5</v>
      </c>
      <c r="L33" s="219" t="s">
        <v>5</v>
      </c>
      <c r="M33" s="180" t="s">
        <v>5</v>
      </c>
      <c r="N33" s="120" t="s">
        <v>5</v>
      </c>
      <c r="O33" s="219" t="s">
        <v>5</v>
      </c>
      <c r="P33" s="180" t="s">
        <v>5</v>
      </c>
      <c r="Q33" s="120" t="s">
        <v>5</v>
      </c>
      <c r="R33" s="219" t="s">
        <v>5</v>
      </c>
      <c r="S33" s="180" t="s">
        <v>5</v>
      </c>
      <c r="T33" s="202">
        <f>(G33-F33)*E33/100</f>
        <v>10007.5605</v>
      </c>
      <c r="U33" s="19" t="s">
        <v>6</v>
      </c>
      <c r="V33" s="371">
        <v>100</v>
      </c>
      <c r="W33" s="4" t="str">
        <f t="shared" si="0"/>
        <v>A</v>
      </c>
    </row>
    <row r="34" spans="1:23" ht="15" customHeight="1">
      <c r="A34" s="244" t="s">
        <v>42</v>
      </c>
      <c r="B34" s="382">
        <v>0</v>
      </c>
      <c r="C34" s="111" t="s">
        <v>250</v>
      </c>
      <c r="D34" s="310" t="s">
        <v>5</v>
      </c>
      <c r="E34" s="366" t="s">
        <v>5</v>
      </c>
      <c r="F34" s="398" t="s">
        <v>5</v>
      </c>
      <c r="G34" s="399" t="s">
        <v>5</v>
      </c>
      <c r="H34" s="163" t="s">
        <v>5</v>
      </c>
      <c r="I34" s="395" t="s">
        <v>5</v>
      </c>
      <c r="J34" s="472" t="s">
        <v>5</v>
      </c>
      <c r="K34" s="163" t="s">
        <v>5</v>
      </c>
      <c r="L34" s="395" t="s">
        <v>5</v>
      </c>
      <c r="M34" s="472" t="s">
        <v>5</v>
      </c>
      <c r="N34" s="163" t="s">
        <v>5</v>
      </c>
      <c r="O34" s="395" t="s">
        <v>5</v>
      </c>
      <c r="P34" s="472" t="s">
        <v>5</v>
      </c>
      <c r="Q34" s="163" t="s">
        <v>5</v>
      </c>
      <c r="R34" s="395" t="s">
        <v>5</v>
      </c>
      <c r="S34" s="472" t="s">
        <v>5</v>
      </c>
      <c r="T34" s="367" t="s">
        <v>5</v>
      </c>
      <c r="U34" s="111" t="s">
        <v>5</v>
      </c>
      <c r="V34" s="377" t="s">
        <v>5</v>
      </c>
      <c r="W34" s="4" t="str">
        <f t="shared" si="0"/>
        <v/>
      </c>
    </row>
    <row r="35" spans="1:23" ht="15" customHeight="1">
      <c r="A35" s="235" t="s">
        <v>64</v>
      </c>
      <c r="B35" s="266">
        <v>1</v>
      </c>
      <c r="C35" s="19" t="s">
        <v>8</v>
      </c>
      <c r="D35" s="302" t="s">
        <v>5</v>
      </c>
      <c r="E35" s="127">
        <f>0.078*100</f>
        <v>7.8</v>
      </c>
      <c r="F35" s="145" t="s">
        <v>65</v>
      </c>
      <c r="G35" s="146" t="s">
        <v>5</v>
      </c>
      <c r="H35" s="175" t="s">
        <v>5</v>
      </c>
      <c r="I35" s="400" t="s">
        <v>5</v>
      </c>
      <c r="J35" s="396" t="s">
        <v>5</v>
      </c>
      <c r="K35" s="175" t="s">
        <v>5</v>
      </c>
      <c r="L35" s="400" t="s">
        <v>5</v>
      </c>
      <c r="M35" s="396" t="s">
        <v>5</v>
      </c>
      <c r="N35" s="175" t="s">
        <v>5</v>
      </c>
      <c r="O35" s="400" t="s">
        <v>5</v>
      </c>
      <c r="P35" s="396" t="s">
        <v>5</v>
      </c>
      <c r="Q35" s="175" t="s">
        <v>5</v>
      </c>
      <c r="R35" s="400" t="s">
        <v>5</v>
      </c>
      <c r="S35" s="396" t="s">
        <v>5</v>
      </c>
      <c r="T35" s="202" t="s">
        <v>5</v>
      </c>
      <c r="U35" s="54" t="s">
        <v>5</v>
      </c>
      <c r="V35" s="374" t="s">
        <v>5</v>
      </c>
      <c r="W35" s="4" t="str">
        <f t="shared" si="0"/>
        <v/>
      </c>
    </row>
    <row r="36" spans="1:23" ht="15" customHeight="1">
      <c r="A36" s="235" t="s">
        <v>72</v>
      </c>
      <c r="B36" s="266">
        <v>1</v>
      </c>
      <c r="C36" s="19" t="s">
        <v>8</v>
      </c>
      <c r="D36" s="303" t="s">
        <v>5</v>
      </c>
      <c r="E36" s="127">
        <f>(0.061098+0.015)*100</f>
        <v>7.6097999999999999</v>
      </c>
      <c r="F36" s="114">
        <v>0</v>
      </c>
      <c r="G36" s="146">
        <v>95790</v>
      </c>
      <c r="H36" s="127">
        <f>0.0245*100</f>
        <v>2.4500000000000002</v>
      </c>
      <c r="I36" s="145">
        <f>G36</f>
        <v>95790</v>
      </c>
      <c r="J36" s="180" t="s">
        <v>5</v>
      </c>
      <c r="K36" s="175" t="s">
        <v>5</v>
      </c>
      <c r="L36" s="400" t="s">
        <v>5</v>
      </c>
      <c r="M36" s="396" t="s">
        <v>5</v>
      </c>
      <c r="N36" s="175" t="s">
        <v>5</v>
      </c>
      <c r="O36" s="400" t="s">
        <v>5</v>
      </c>
      <c r="P36" s="396" t="s">
        <v>5</v>
      </c>
      <c r="Q36" s="175" t="s">
        <v>5</v>
      </c>
      <c r="R36" s="400" t="s">
        <v>5</v>
      </c>
      <c r="S36" s="396" t="s">
        <v>5</v>
      </c>
      <c r="T36" s="199" t="s">
        <v>5</v>
      </c>
      <c r="U36" s="19" t="s">
        <v>6</v>
      </c>
      <c r="V36" s="371">
        <v>100</v>
      </c>
      <c r="W36" s="4" t="str">
        <f t="shared" si="0"/>
        <v>A</v>
      </c>
    </row>
    <row r="37" spans="1:23" ht="15" customHeight="1">
      <c r="A37" s="235" t="s">
        <v>72</v>
      </c>
      <c r="B37" s="266">
        <v>2</v>
      </c>
      <c r="C37" s="19" t="s">
        <v>8</v>
      </c>
      <c r="D37" s="303" t="s">
        <v>5</v>
      </c>
      <c r="E37" s="127">
        <f>0.09*100</f>
        <v>9</v>
      </c>
      <c r="F37" s="316" t="s">
        <v>5</v>
      </c>
      <c r="G37" s="317" t="s">
        <v>5</v>
      </c>
      <c r="H37" s="120" t="s">
        <v>5</v>
      </c>
      <c r="I37" s="219" t="s">
        <v>5</v>
      </c>
      <c r="J37" s="180" t="s">
        <v>5</v>
      </c>
      <c r="K37" s="120" t="s">
        <v>5</v>
      </c>
      <c r="L37" s="219" t="s">
        <v>5</v>
      </c>
      <c r="M37" s="180" t="s">
        <v>5</v>
      </c>
      <c r="N37" s="120" t="s">
        <v>5</v>
      </c>
      <c r="O37" s="219" t="s">
        <v>5</v>
      </c>
      <c r="P37" s="180" t="s">
        <v>5</v>
      </c>
      <c r="Q37" s="120" t="s">
        <v>5</v>
      </c>
      <c r="R37" s="219" t="s">
        <v>5</v>
      </c>
      <c r="S37" s="180" t="s">
        <v>5</v>
      </c>
      <c r="T37" s="199" t="s">
        <v>5</v>
      </c>
      <c r="U37" s="19" t="s">
        <v>6</v>
      </c>
      <c r="V37" s="371">
        <v>100</v>
      </c>
      <c r="W37" s="4" t="str">
        <f t="shared" si="0"/>
        <v>A</v>
      </c>
    </row>
    <row r="38" spans="1:23" ht="15" customHeight="1">
      <c r="A38" s="235" t="s">
        <v>17</v>
      </c>
      <c r="B38" s="266">
        <v>1</v>
      </c>
      <c r="C38" s="19" t="s">
        <v>7</v>
      </c>
      <c r="D38" s="302" t="s">
        <v>5</v>
      </c>
      <c r="E38" s="127">
        <f>0.11*100</f>
        <v>11</v>
      </c>
      <c r="F38" s="145" t="s">
        <v>5</v>
      </c>
      <c r="G38" s="146" t="s">
        <v>5</v>
      </c>
      <c r="H38" s="175" t="s">
        <v>5</v>
      </c>
      <c r="I38" s="400" t="s">
        <v>5</v>
      </c>
      <c r="J38" s="396" t="s">
        <v>5</v>
      </c>
      <c r="K38" s="175" t="s">
        <v>5</v>
      </c>
      <c r="L38" s="400" t="s">
        <v>5</v>
      </c>
      <c r="M38" s="396" t="s">
        <v>5</v>
      </c>
      <c r="N38" s="175" t="s">
        <v>5</v>
      </c>
      <c r="O38" s="400" t="s">
        <v>5</v>
      </c>
      <c r="P38" s="396" t="s">
        <v>5</v>
      </c>
      <c r="Q38" s="175" t="s">
        <v>5</v>
      </c>
      <c r="R38" s="400" t="s">
        <v>5</v>
      </c>
      <c r="S38" s="396" t="s">
        <v>5</v>
      </c>
      <c r="T38" s="202" t="s">
        <v>5</v>
      </c>
      <c r="U38" s="19" t="s">
        <v>6</v>
      </c>
      <c r="V38" s="371">
        <v>100</v>
      </c>
      <c r="W38" s="4" t="str">
        <f t="shared" si="0"/>
        <v>A</v>
      </c>
    </row>
    <row r="39" spans="1:23" ht="15" customHeight="1">
      <c r="A39" s="235" t="s">
        <v>51</v>
      </c>
      <c r="B39" s="266">
        <v>1</v>
      </c>
      <c r="C39" s="19" t="s">
        <v>7</v>
      </c>
      <c r="D39" s="304" t="s">
        <v>5</v>
      </c>
      <c r="E39" s="127">
        <f>(0.014+0.04+0.08)*100</f>
        <v>13.4</v>
      </c>
      <c r="F39" s="145" t="str">
        <f>"["&amp;ROUND(295.5,1)&amp;"]"</f>
        <v>[295.5]</v>
      </c>
      <c r="G39" s="146">
        <f>12525.84/12</f>
        <v>1043.82</v>
      </c>
      <c r="H39" s="498">
        <f>(0.04+0.08)*100</f>
        <v>12</v>
      </c>
      <c r="I39" s="400">
        <f>G39</f>
        <v>1043.82</v>
      </c>
      <c r="J39" s="396">
        <f>24073.92/12</f>
        <v>2006.1599999999999</v>
      </c>
      <c r="K39" s="498">
        <f>0.08*100</f>
        <v>8</v>
      </c>
      <c r="L39" s="400">
        <f>J39</f>
        <v>2006.1599999999999</v>
      </c>
      <c r="M39" s="396">
        <f>33402/12</f>
        <v>2783.5</v>
      </c>
      <c r="N39" s="175" t="s">
        <v>5</v>
      </c>
      <c r="O39" s="400" t="s">
        <v>5</v>
      </c>
      <c r="P39" s="396" t="s">
        <v>5</v>
      </c>
      <c r="Q39" s="175" t="s">
        <v>5</v>
      </c>
      <c r="R39" s="400" t="s">
        <v>5</v>
      </c>
      <c r="S39" s="396" t="s">
        <v>5</v>
      </c>
      <c r="T39" s="202" t="s">
        <v>5</v>
      </c>
      <c r="U39" s="28" t="s">
        <v>6</v>
      </c>
      <c r="V39" s="373">
        <v>100</v>
      </c>
      <c r="W39" s="4" t="str">
        <f t="shared" si="0"/>
        <v>A</v>
      </c>
    </row>
    <row r="40" spans="1:23" ht="15" customHeight="1">
      <c r="A40" s="235" t="s">
        <v>59</v>
      </c>
      <c r="B40" s="266">
        <v>1</v>
      </c>
      <c r="C40" s="19" t="s">
        <v>7</v>
      </c>
      <c r="D40" s="303" t="s">
        <v>5</v>
      </c>
      <c r="E40" s="127">
        <f>0.221*100</f>
        <v>22.1</v>
      </c>
      <c r="F40" s="400" t="s">
        <v>5</v>
      </c>
      <c r="G40" s="396" t="s">
        <v>5</v>
      </c>
      <c r="H40" s="175" t="s">
        <v>5</v>
      </c>
      <c r="I40" s="400" t="s">
        <v>5</v>
      </c>
      <c r="J40" s="396" t="s">
        <v>5</v>
      </c>
      <c r="K40" s="175" t="s">
        <v>5</v>
      </c>
      <c r="L40" s="400" t="s">
        <v>5</v>
      </c>
      <c r="M40" s="396" t="s">
        <v>5</v>
      </c>
      <c r="N40" s="175" t="s">
        <v>5</v>
      </c>
      <c r="O40" s="400" t="s">
        <v>5</v>
      </c>
      <c r="P40" s="396" t="s">
        <v>5</v>
      </c>
      <c r="Q40" s="175" t="s">
        <v>5</v>
      </c>
      <c r="R40" s="400" t="s">
        <v>5</v>
      </c>
      <c r="S40" s="396" t="s">
        <v>5</v>
      </c>
      <c r="T40" s="336" t="s">
        <v>5</v>
      </c>
      <c r="U40" s="28" t="s">
        <v>6</v>
      </c>
      <c r="V40" s="373">
        <v>100</v>
      </c>
      <c r="W40" s="4" t="str">
        <f t="shared" si="0"/>
        <v>A</v>
      </c>
    </row>
    <row r="41" spans="1:23" ht="15" customHeight="1">
      <c r="A41" s="235" t="s">
        <v>213</v>
      </c>
      <c r="B41" s="266">
        <v>1</v>
      </c>
      <c r="C41" s="19" t="s">
        <v>8</v>
      </c>
      <c r="D41" s="302" t="s">
        <v>5</v>
      </c>
      <c r="E41" s="127">
        <f>(0.047+0.0155+0.001)*100</f>
        <v>6.35</v>
      </c>
      <c r="F41" s="397" t="s">
        <v>63</v>
      </c>
      <c r="G41" s="146">
        <v>37994.400000000001</v>
      </c>
      <c r="H41" s="175" t="s">
        <v>5</v>
      </c>
      <c r="I41" s="400" t="s">
        <v>5</v>
      </c>
      <c r="J41" s="396" t="s">
        <v>5</v>
      </c>
      <c r="K41" s="175" t="s">
        <v>5</v>
      </c>
      <c r="L41" s="400" t="s">
        <v>5</v>
      </c>
      <c r="M41" s="396" t="s">
        <v>5</v>
      </c>
      <c r="N41" s="175" t="s">
        <v>5</v>
      </c>
      <c r="O41" s="400" t="s">
        <v>5</v>
      </c>
      <c r="P41" s="396" t="s">
        <v>5</v>
      </c>
      <c r="Q41" s="175" t="s">
        <v>5</v>
      </c>
      <c r="R41" s="400" t="s">
        <v>5</v>
      </c>
      <c r="S41" s="396" t="s">
        <v>5</v>
      </c>
      <c r="T41" s="368">
        <f>G41*(E41/100)</f>
        <v>2412.6444000000001</v>
      </c>
      <c r="U41" s="19" t="s">
        <v>6</v>
      </c>
      <c r="V41" s="371">
        <v>100</v>
      </c>
      <c r="W41" s="4" t="str">
        <f t="shared" si="0"/>
        <v>A</v>
      </c>
    </row>
    <row r="42" spans="1:23" ht="15" customHeight="1">
      <c r="A42" s="339" t="s">
        <v>73</v>
      </c>
      <c r="B42" s="266">
        <v>1</v>
      </c>
      <c r="C42" s="19" t="s">
        <v>8</v>
      </c>
      <c r="D42" s="303" t="s">
        <v>5</v>
      </c>
      <c r="E42" s="127">
        <f>0.07*100</f>
        <v>7.0000000000000009</v>
      </c>
      <c r="F42" s="145" t="str">
        <f>"["&amp;ROUND(0.423*42800,0)&amp;"]"</f>
        <v>[18104]</v>
      </c>
      <c r="G42" s="146">
        <f>8.07*50900</f>
        <v>410763</v>
      </c>
      <c r="H42" s="175" t="s">
        <v>5</v>
      </c>
      <c r="I42" s="400" t="s">
        <v>5</v>
      </c>
      <c r="J42" s="396" t="s">
        <v>5</v>
      </c>
      <c r="K42" s="175" t="s">
        <v>5</v>
      </c>
      <c r="L42" s="400" t="s">
        <v>5</v>
      </c>
      <c r="M42" s="396" t="s">
        <v>5</v>
      </c>
      <c r="N42" s="175" t="s">
        <v>5</v>
      </c>
      <c r="O42" s="400" t="s">
        <v>5</v>
      </c>
      <c r="P42" s="396" t="s">
        <v>5</v>
      </c>
      <c r="Q42" s="175" t="s">
        <v>5</v>
      </c>
      <c r="R42" s="400" t="s">
        <v>5</v>
      </c>
      <c r="S42" s="396" t="s">
        <v>5</v>
      </c>
      <c r="T42" s="368">
        <f>ROUND(E42*G42/100,-2)</f>
        <v>28800</v>
      </c>
      <c r="U42" s="19" t="s">
        <v>28</v>
      </c>
      <c r="V42" s="371">
        <v>100</v>
      </c>
      <c r="W42" s="4" t="str">
        <f t="shared" si="0"/>
        <v>C</v>
      </c>
    </row>
    <row r="43" spans="1:23" ht="15" customHeight="1">
      <c r="A43" s="235" t="s">
        <v>74</v>
      </c>
      <c r="B43" s="266">
        <v>1</v>
      </c>
      <c r="C43" s="19" t="s">
        <v>8</v>
      </c>
      <c r="D43" s="303" t="s">
        <v>5</v>
      </c>
      <c r="E43" s="127">
        <f>(0.01*100)+H43</f>
        <v>6.0500000000000007</v>
      </c>
      <c r="F43" s="145">
        <v>0</v>
      </c>
      <c r="G43" s="146">
        <v>126000</v>
      </c>
      <c r="H43" s="127">
        <f>0.0505*100</f>
        <v>5.0500000000000007</v>
      </c>
      <c r="I43" s="145">
        <f>G43</f>
        <v>126000</v>
      </c>
      <c r="J43" s="396" t="s">
        <v>5</v>
      </c>
      <c r="K43" s="175" t="s">
        <v>5</v>
      </c>
      <c r="L43" s="400" t="s">
        <v>5</v>
      </c>
      <c r="M43" s="396" t="s">
        <v>5</v>
      </c>
      <c r="N43" s="175" t="s">
        <v>5</v>
      </c>
      <c r="O43" s="400" t="s">
        <v>5</v>
      </c>
      <c r="P43" s="396" t="s">
        <v>5</v>
      </c>
      <c r="Q43" s="175" t="s">
        <v>5</v>
      </c>
      <c r="R43" s="400" t="s">
        <v>5</v>
      </c>
      <c r="S43" s="396" t="s">
        <v>5</v>
      </c>
      <c r="T43" s="336" t="s">
        <v>5</v>
      </c>
      <c r="U43" s="281" t="s">
        <v>6</v>
      </c>
      <c r="V43" s="378">
        <v>100</v>
      </c>
      <c r="W43" s="4" t="str">
        <f t="shared" si="0"/>
        <v>A</v>
      </c>
    </row>
    <row r="44" spans="1:23" s="2" customFormat="1" ht="15" customHeight="1">
      <c r="A44" s="339" t="s">
        <v>43</v>
      </c>
      <c r="B44" s="266">
        <v>1</v>
      </c>
      <c r="C44" s="19" t="s">
        <v>8</v>
      </c>
      <c r="D44" s="387" t="s">
        <v>5</v>
      </c>
      <c r="E44" s="127">
        <v>15</v>
      </c>
      <c r="F44" s="397" t="str">
        <f>"/"&amp;ROUND(7992,0)&amp;"/"</f>
        <v>/7992/</v>
      </c>
      <c r="G44" s="146">
        <v>53001</v>
      </c>
      <c r="H44" s="175" t="s">
        <v>5</v>
      </c>
      <c r="I44" s="400" t="s">
        <v>5</v>
      </c>
      <c r="J44" s="396" t="s">
        <v>5</v>
      </c>
      <c r="K44" s="175" t="s">
        <v>5</v>
      </c>
      <c r="L44" s="400" t="s">
        <v>5</v>
      </c>
      <c r="M44" s="396" t="s">
        <v>5</v>
      </c>
      <c r="N44" s="175" t="s">
        <v>5</v>
      </c>
      <c r="O44" s="400" t="s">
        <v>5</v>
      </c>
      <c r="P44" s="396" t="s">
        <v>5</v>
      </c>
      <c r="Q44" s="175" t="s">
        <v>5</v>
      </c>
      <c r="R44" s="400" t="s">
        <v>5</v>
      </c>
      <c r="S44" s="396" t="s">
        <v>5</v>
      </c>
      <c r="T44" s="369">
        <f>G44*E44/100</f>
        <v>7950.15</v>
      </c>
      <c r="U44" s="281" t="s">
        <v>6</v>
      </c>
      <c r="V44" s="378">
        <v>100</v>
      </c>
      <c r="W44" s="4" t="str">
        <f t="shared" si="0"/>
        <v>A</v>
      </c>
    </row>
    <row r="45" spans="1:23" ht="15" customHeight="1">
      <c r="A45" s="235" t="s">
        <v>47</v>
      </c>
      <c r="B45" s="266">
        <v>1</v>
      </c>
      <c r="C45" s="19" t="s">
        <v>19</v>
      </c>
      <c r="D45" s="388" t="s">
        <v>5</v>
      </c>
      <c r="E45" s="127">
        <f>0.11*100</f>
        <v>11</v>
      </c>
      <c r="F45" s="114">
        <f>5720/52</f>
        <v>110</v>
      </c>
      <c r="G45" s="115">
        <f>43888/52</f>
        <v>844</v>
      </c>
      <c r="H45" s="127">
        <f>0.01*100</f>
        <v>1</v>
      </c>
      <c r="I45" s="145">
        <f>G45</f>
        <v>844</v>
      </c>
      <c r="J45" s="393" t="s">
        <v>5</v>
      </c>
      <c r="K45" s="120" t="s">
        <v>5</v>
      </c>
      <c r="L45" s="219" t="s">
        <v>5</v>
      </c>
      <c r="M45" s="180" t="s">
        <v>5</v>
      </c>
      <c r="N45" s="120" t="s">
        <v>5</v>
      </c>
      <c r="O45" s="219" t="s">
        <v>5</v>
      </c>
      <c r="P45" s="180" t="s">
        <v>5</v>
      </c>
      <c r="Q45" s="120" t="s">
        <v>5</v>
      </c>
      <c r="R45" s="219" t="s">
        <v>5</v>
      </c>
      <c r="S45" s="180" t="s">
        <v>5</v>
      </c>
      <c r="T45" s="164" t="s">
        <v>5</v>
      </c>
      <c r="U45" s="168" t="s">
        <v>5</v>
      </c>
      <c r="V45" s="379" t="s">
        <v>5</v>
      </c>
      <c r="W45" s="4" t="str">
        <f t="shared" si="0"/>
        <v/>
      </c>
    </row>
    <row r="46" spans="1:23" ht="15" customHeight="1">
      <c r="A46" s="246" t="s">
        <v>20</v>
      </c>
      <c r="B46" s="383">
        <v>1</v>
      </c>
      <c r="C46" s="292" t="s">
        <v>8</v>
      </c>
      <c r="D46" s="389" t="s">
        <v>5</v>
      </c>
      <c r="E46" s="293">
        <f>(0.062*100)+H46</f>
        <v>7.65</v>
      </c>
      <c r="F46" s="147">
        <v>0</v>
      </c>
      <c r="G46" s="148">
        <v>106800</v>
      </c>
      <c r="H46" s="293">
        <f>0.0145*100</f>
        <v>1.4500000000000002</v>
      </c>
      <c r="I46" s="147">
        <f>G46</f>
        <v>106800</v>
      </c>
      <c r="J46" s="158" t="s">
        <v>5</v>
      </c>
      <c r="K46" s="480" t="s">
        <v>5</v>
      </c>
      <c r="L46" s="481" t="s">
        <v>5</v>
      </c>
      <c r="M46" s="158" t="s">
        <v>5</v>
      </c>
      <c r="N46" s="480" t="s">
        <v>5</v>
      </c>
      <c r="O46" s="481" t="s">
        <v>5</v>
      </c>
      <c r="P46" s="158" t="s">
        <v>5</v>
      </c>
      <c r="Q46" s="480" t="s">
        <v>5</v>
      </c>
      <c r="R46" s="481" t="s">
        <v>5</v>
      </c>
      <c r="S46" s="158" t="s">
        <v>5</v>
      </c>
      <c r="T46" s="348" t="s">
        <v>5</v>
      </c>
      <c r="U46" s="249" t="s">
        <v>5</v>
      </c>
      <c r="V46" s="380" t="s">
        <v>5</v>
      </c>
    </row>
    <row r="47" spans="1:23" ht="15" customHeight="1">
      <c r="A47" s="176"/>
      <c r="B47" s="169"/>
      <c r="C47" s="19"/>
      <c r="D47" s="15"/>
      <c r="E47" s="18"/>
      <c r="F47" s="29"/>
      <c r="G47" s="32"/>
      <c r="H47" s="32"/>
      <c r="I47" s="32"/>
      <c r="J47" s="32"/>
      <c r="K47" s="32"/>
      <c r="L47" s="32"/>
      <c r="M47" s="32"/>
      <c r="N47" s="32"/>
      <c r="O47" s="32"/>
      <c r="P47" s="32"/>
      <c r="Q47" s="32"/>
      <c r="R47" s="32"/>
      <c r="S47" s="32"/>
      <c r="T47" s="56"/>
      <c r="U47" s="54"/>
      <c r="V47" s="55"/>
    </row>
    <row r="48" spans="1:23" s="75" customFormat="1" ht="12.75" customHeight="1">
      <c r="A48" s="535" t="s">
        <v>94</v>
      </c>
      <c r="B48" s="535"/>
      <c r="C48" s="535"/>
      <c r="D48" s="535"/>
      <c r="E48" s="535"/>
      <c r="F48" s="535"/>
      <c r="G48" s="535"/>
      <c r="H48" s="535"/>
      <c r="I48" s="535"/>
      <c r="J48" s="535"/>
      <c r="K48" s="535"/>
      <c r="L48" s="535"/>
      <c r="M48" s="535"/>
      <c r="N48" s="535"/>
      <c r="O48" s="535"/>
      <c r="P48" s="535"/>
      <c r="Q48" s="535"/>
      <c r="R48" s="535"/>
      <c r="S48" s="535"/>
      <c r="T48" s="535"/>
      <c r="U48" s="535"/>
      <c r="V48" s="535"/>
    </row>
    <row r="49" spans="1:22" s="76" customFormat="1" ht="12.75" customHeight="1">
      <c r="A49" s="539" t="s">
        <v>95</v>
      </c>
      <c r="B49" s="539"/>
      <c r="C49" s="539"/>
      <c r="D49" s="539"/>
      <c r="E49" s="539"/>
      <c r="F49" s="539"/>
      <c r="G49" s="539"/>
      <c r="H49" s="539"/>
      <c r="I49" s="539"/>
      <c r="J49" s="539"/>
      <c r="K49" s="539"/>
      <c r="L49" s="539"/>
      <c r="M49" s="539"/>
      <c r="N49" s="539"/>
      <c r="O49" s="539"/>
      <c r="P49" s="539"/>
      <c r="Q49" s="539"/>
      <c r="R49" s="539"/>
      <c r="S49" s="539"/>
      <c r="T49" s="539"/>
      <c r="U49" s="539"/>
      <c r="V49" s="539"/>
    </row>
    <row r="50" spans="1:22" s="76" customFormat="1" ht="12.75" customHeight="1">
      <c r="A50" s="539" t="s">
        <v>107</v>
      </c>
      <c r="B50" s="539"/>
      <c r="C50" s="539"/>
      <c r="D50" s="539"/>
      <c r="E50" s="539"/>
      <c r="F50" s="539"/>
      <c r="G50" s="539"/>
      <c r="H50" s="539"/>
      <c r="I50" s="539"/>
      <c r="J50" s="539"/>
      <c r="K50" s="539"/>
      <c r="L50" s="539"/>
      <c r="M50" s="539"/>
      <c r="N50" s="539"/>
      <c r="O50" s="539"/>
      <c r="P50" s="539"/>
      <c r="Q50" s="539"/>
      <c r="R50" s="539"/>
      <c r="S50" s="539"/>
      <c r="T50" s="539"/>
      <c r="U50" s="539"/>
      <c r="V50" s="539"/>
    </row>
    <row r="51" spans="1:22" s="76" customFormat="1" ht="12.75" customHeight="1">
      <c r="A51" s="539" t="s">
        <v>108</v>
      </c>
      <c r="B51" s="539"/>
      <c r="C51" s="539"/>
      <c r="D51" s="539"/>
      <c r="E51" s="539"/>
      <c r="F51" s="539"/>
      <c r="G51" s="539"/>
      <c r="H51" s="539"/>
      <c r="I51" s="539"/>
      <c r="J51" s="539"/>
      <c r="K51" s="539"/>
      <c r="L51" s="539"/>
      <c r="M51" s="539"/>
      <c r="N51" s="539"/>
      <c r="O51" s="539"/>
      <c r="P51" s="539"/>
      <c r="Q51" s="539"/>
      <c r="R51" s="539"/>
      <c r="S51" s="539"/>
      <c r="T51" s="539"/>
      <c r="U51" s="539"/>
      <c r="V51" s="539"/>
    </row>
    <row r="52" spans="1:22" s="76" customFormat="1" ht="12.75" customHeight="1">
      <c r="A52" s="516" t="s">
        <v>1</v>
      </c>
      <c r="B52" s="84" t="s">
        <v>122</v>
      </c>
      <c r="C52" s="509" t="s">
        <v>123</v>
      </c>
      <c r="D52" s="103"/>
      <c r="E52" s="103"/>
      <c r="F52" s="104"/>
      <c r="U52" s="99"/>
      <c r="V52" s="99"/>
    </row>
    <row r="53" spans="1:22" s="76" customFormat="1" ht="12.75" customHeight="1">
      <c r="A53" s="517"/>
      <c r="B53" s="85" t="s">
        <v>124</v>
      </c>
      <c r="C53" s="510" t="s">
        <v>126</v>
      </c>
      <c r="D53" s="105"/>
      <c r="E53" s="105"/>
      <c r="F53" s="106"/>
      <c r="U53" s="83"/>
      <c r="V53" s="83"/>
    </row>
    <row r="54" spans="1:22" s="76" customFormat="1" ht="12.75" customHeight="1">
      <c r="A54" s="517"/>
      <c r="B54" s="86" t="s">
        <v>125</v>
      </c>
      <c r="C54" s="511" t="s">
        <v>136</v>
      </c>
      <c r="D54" s="107"/>
      <c r="E54" s="107"/>
      <c r="F54" s="108"/>
      <c r="U54" s="83"/>
      <c r="V54" s="83"/>
    </row>
    <row r="55" spans="1:22" s="76" customFormat="1" ht="12.75" customHeight="1">
      <c r="A55" s="517"/>
      <c r="C55" s="78"/>
      <c r="D55" s="93"/>
      <c r="E55" s="93"/>
      <c r="F55" s="93"/>
      <c r="U55" s="83"/>
      <c r="V55" s="83"/>
    </row>
    <row r="56" spans="1:22" s="76" customFormat="1" ht="12.75" customHeight="1">
      <c r="A56" s="518" t="s">
        <v>127</v>
      </c>
      <c r="B56" s="84" t="s">
        <v>128</v>
      </c>
      <c r="C56" s="509" t="s">
        <v>129</v>
      </c>
      <c r="D56" s="103"/>
      <c r="E56" s="103"/>
      <c r="F56" s="104"/>
      <c r="U56" s="99"/>
      <c r="V56" s="99"/>
    </row>
    <row r="57" spans="1:22" s="76" customFormat="1" ht="12.75" customHeight="1">
      <c r="A57" s="517"/>
      <c r="B57" s="85" t="s">
        <v>130</v>
      </c>
      <c r="C57" s="510" t="s">
        <v>133</v>
      </c>
      <c r="D57" s="105"/>
      <c r="E57" s="105"/>
      <c r="F57" s="106"/>
      <c r="U57" s="83"/>
      <c r="V57" s="83"/>
    </row>
    <row r="58" spans="1:22" s="76" customFormat="1" ht="12.75" customHeight="1">
      <c r="A58" s="517"/>
      <c r="B58" s="85" t="s">
        <v>131</v>
      </c>
      <c r="C58" s="510" t="s">
        <v>132</v>
      </c>
      <c r="D58" s="105"/>
      <c r="E58" s="105"/>
      <c r="F58" s="106"/>
      <c r="U58" s="83"/>
      <c r="V58" s="83"/>
    </row>
    <row r="59" spans="1:22" s="76" customFormat="1" ht="12.75" customHeight="1">
      <c r="A59" s="517"/>
      <c r="B59" s="85" t="s">
        <v>134</v>
      </c>
      <c r="C59" s="510" t="s">
        <v>135</v>
      </c>
      <c r="D59" s="105"/>
      <c r="E59" s="105"/>
      <c r="F59" s="106"/>
      <c r="U59" s="83"/>
      <c r="V59" s="83"/>
    </row>
    <row r="60" spans="1:22" s="76" customFormat="1" ht="12.75" customHeight="1">
      <c r="A60" s="519"/>
      <c r="B60" s="86" t="s">
        <v>28</v>
      </c>
      <c r="C60" s="511" t="s">
        <v>214</v>
      </c>
      <c r="D60" s="109"/>
      <c r="E60" s="109"/>
      <c r="F60" s="110"/>
      <c r="U60" s="83"/>
      <c r="V60" s="83"/>
    </row>
    <row r="61" spans="1:22" s="76" customFormat="1" ht="12.75" customHeight="1">
      <c r="A61" s="520"/>
      <c r="B61" s="78"/>
      <c r="C61" s="78"/>
      <c r="D61" s="83"/>
      <c r="F61" s="83"/>
      <c r="G61" s="83"/>
      <c r="H61" s="83"/>
      <c r="I61" s="83"/>
      <c r="J61" s="83"/>
      <c r="K61" s="83"/>
      <c r="L61" s="83"/>
      <c r="M61" s="83"/>
      <c r="N61" s="83"/>
      <c r="O61" s="83"/>
      <c r="P61" s="83"/>
      <c r="Q61" s="83"/>
      <c r="R61" s="83"/>
      <c r="S61" s="83"/>
      <c r="T61" s="83"/>
      <c r="U61" s="83"/>
      <c r="V61" s="83"/>
    </row>
    <row r="62" spans="1:22" s="76" customFormat="1">
      <c r="A62" s="540" t="s">
        <v>96</v>
      </c>
      <c r="B62" s="540"/>
      <c r="C62" s="540"/>
      <c r="D62" s="540"/>
      <c r="E62" s="540"/>
      <c r="F62" s="540"/>
      <c r="G62" s="540"/>
      <c r="H62" s="540"/>
      <c r="I62" s="540"/>
      <c r="J62" s="540"/>
      <c r="K62" s="540"/>
      <c r="L62" s="540"/>
      <c r="M62" s="540"/>
      <c r="N62" s="540"/>
      <c r="O62" s="540"/>
      <c r="P62" s="540"/>
      <c r="Q62" s="540"/>
      <c r="R62" s="540"/>
      <c r="S62" s="540"/>
      <c r="T62" s="540"/>
      <c r="U62" s="540"/>
      <c r="V62" s="540"/>
    </row>
    <row r="63" spans="1:22" s="76" customFormat="1">
      <c r="A63" s="539" t="s">
        <v>97</v>
      </c>
      <c r="B63" s="539"/>
      <c r="C63" s="539"/>
      <c r="D63" s="539"/>
      <c r="E63" s="539"/>
      <c r="F63" s="539"/>
      <c r="G63" s="539"/>
      <c r="H63" s="539"/>
      <c r="I63" s="539"/>
      <c r="J63" s="539"/>
      <c r="K63" s="539"/>
      <c r="L63" s="539"/>
      <c r="M63" s="539"/>
      <c r="N63" s="539"/>
      <c r="O63" s="539"/>
      <c r="P63" s="539"/>
      <c r="Q63" s="539"/>
      <c r="R63" s="539"/>
      <c r="S63" s="539"/>
      <c r="T63" s="539"/>
      <c r="U63" s="539"/>
      <c r="V63" s="539"/>
    </row>
    <row r="64" spans="1:22" s="76" customFormat="1" ht="22.5" customHeight="1">
      <c r="A64" s="521" t="s">
        <v>98</v>
      </c>
      <c r="B64" s="177"/>
      <c r="C64" s="512"/>
      <c r="D64" s="177"/>
      <c r="E64" s="177"/>
      <c r="F64" s="177"/>
      <c r="G64" s="177"/>
      <c r="H64" s="177"/>
      <c r="I64" s="177"/>
      <c r="J64" s="177"/>
      <c r="K64" s="177"/>
      <c r="L64" s="177"/>
      <c r="M64" s="177"/>
      <c r="N64" s="177"/>
      <c r="O64" s="177"/>
      <c r="P64" s="177"/>
      <c r="Q64" s="177"/>
      <c r="R64" s="177"/>
      <c r="S64" s="177"/>
      <c r="T64" s="177"/>
      <c r="U64" s="177"/>
      <c r="V64" s="177"/>
    </row>
    <row r="65" spans="1:33" s="76" customFormat="1" ht="50.25" customHeight="1">
      <c r="A65" s="539" t="s">
        <v>238</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22.5" customHeight="1">
      <c r="A66" s="539" t="s">
        <v>226</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35.25" customHeight="1">
      <c r="A67" s="539" t="s">
        <v>227</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65.25" customHeight="1">
      <c r="A68" s="539" t="s">
        <v>228</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132" customHeight="1">
      <c r="A69" s="539" t="s">
        <v>229</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50.25" customHeight="1">
      <c r="A70" s="539" t="s">
        <v>230</v>
      </c>
      <c r="B70" s="539"/>
      <c r="C70" s="539"/>
      <c r="D70" s="539"/>
      <c r="E70" s="539"/>
      <c r="F70" s="539"/>
      <c r="G70" s="539"/>
      <c r="H70" s="539"/>
      <c r="I70" s="539"/>
      <c r="J70" s="539"/>
      <c r="K70" s="539"/>
      <c r="L70" s="539"/>
      <c r="M70" s="539"/>
      <c r="N70" s="539"/>
      <c r="O70" s="539"/>
      <c r="P70" s="539"/>
      <c r="Q70" s="539"/>
      <c r="R70" s="539"/>
      <c r="S70" s="539"/>
      <c r="T70" s="539"/>
      <c r="U70" s="539"/>
      <c r="V70" s="539"/>
      <c r="W70" s="83"/>
      <c r="X70" s="83"/>
      <c r="Y70" s="83"/>
      <c r="Z70" s="83"/>
      <c r="AA70" s="83"/>
      <c r="AB70" s="83"/>
      <c r="AC70" s="83"/>
      <c r="AD70" s="83"/>
      <c r="AE70" s="83"/>
      <c r="AF70" s="83"/>
      <c r="AG70" s="83"/>
    </row>
    <row r="71" spans="1:33" s="76" customFormat="1" ht="25.5" customHeight="1">
      <c r="A71" s="542" t="s">
        <v>99</v>
      </c>
      <c r="B71" s="542"/>
      <c r="C71" s="542"/>
      <c r="D71" s="542"/>
      <c r="E71" s="542"/>
      <c r="F71" s="542"/>
      <c r="G71" s="542"/>
      <c r="H71" s="542"/>
      <c r="I71" s="542"/>
      <c r="J71" s="542"/>
      <c r="K71" s="542"/>
      <c r="L71" s="542"/>
      <c r="M71" s="542"/>
      <c r="N71" s="542"/>
      <c r="O71" s="542"/>
      <c r="P71" s="542"/>
      <c r="Q71" s="542"/>
      <c r="R71" s="542"/>
      <c r="S71" s="542"/>
      <c r="T71" s="542"/>
      <c r="U71" s="542"/>
      <c r="V71" s="542"/>
    </row>
    <row r="72" spans="1:33" ht="21" customHeight="1">
      <c r="A72" s="543" t="s">
        <v>261</v>
      </c>
      <c r="B72" s="543"/>
      <c r="C72" s="543"/>
      <c r="D72" s="543"/>
      <c r="E72" s="543"/>
      <c r="F72" s="543"/>
      <c r="G72" s="543"/>
      <c r="H72" s="543"/>
      <c r="I72" s="543"/>
      <c r="J72" s="543"/>
      <c r="K72" s="543"/>
      <c r="L72" s="543"/>
      <c r="M72" s="543"/>
      <c r="N72" s="543"/>
      <c r="O72" s="543"/>
      <c r="P72" s="543"/>
      <c r="Q72" s="543"/>
      <c r="R72" s="543"/>
      <c r="S72" s="543"/>
      <c r="T72" s="543"/>
      <c r="U72" s="543"/>
      <c r="V72" s="543"/>
    </row>
    <row r="73" spans="1:33" ht="21" customHeight="1">
      <c r="A73" s="543" t="s">
        <v>137</v>
      </c>
      <c r="B73" s="543"/>
      <c r="C73" s="543"/>
      <c r="D73" s="543"/>
      <c r="E73" s="543"/>
      <c r="F73" s="543"/>
      <c r="G73" s="543"/>
      <c r="H73" s="543"/>
      <c r="I73" s="543"/>
      <c r="J73" s="543"/>
      <c r="K73" s="543"/>
      <c r="L73" s="543"/>
      <c r="M73" s="543"/>
      <c r="N73" s="543"/>
      <c r="O73" s="543"/>
      <c r="P73" s="543"/>
      <c r="Q73" s="543"/>
      <c r="R73" s="543"/>
      <c r="S73" s="543"/>
      <c r="T73" s="543"/>
      <c r="U73" s="543"/>
      <c r="V73" s="543"/>
    </row>
    <row r="74" spans="1:33" ht="29.25" customHeight="1">
      <c r="A74" s="543" t="s">
        <v>191</v>
      </c>
      <c r="B74" s="543"/>
      <c r="C74" s="543"/>
      <c r="D74" s="543"/>
      <c r="E74" s="543"/>
      <c r="F74" s="543"/>
      <c r="G74" s="543"/>
      <c r="H74" s="543"/>
      <c r="I74" s="543"/>
      <c r="J74" s="543"/>
      <c r="K74" s="543"/>
      <c r="L74" s="543"/>
      <c r="M74" s="543"/>
      <c r="N74" s="543"/>
      <c r="O74" s="543"/>
      <c r="P74" s="543"/>
      <c r="Q74" s="543"/>
      <c r="R74" s="543"/>
      <c r="S74" s="543"/>
      <c r="T74" s="543"/>
      <c r="U74" s="543"/>
      <c r="V74" s="543"/>
    </row>
    <row r="75" spans="1:33" ht="29.25" customHeight="1">
      <c r="A75" s="543" t="s">
        <v>139</v>
      </c>
      <c r="B75" s="543"/>
      <c r="C75" s="543"/>
      <c r="D75" s="543"/>
      <c r="E75" s="543"/>
      <c r="F75" s="543"/>
      <c r="G75" s="543"/>
      <c r="H75" s="543"/>
      <c r="I75" s="543"/>
      <c r="J75" s="543"/>
      <c r="K75" s="543"/>
      <c r="L75" s="543"/>
      <c r="M75" s="543"/>
      <c r="N75" s="543"/>
      <c r="O75" s="543"/>
      <c r="P75" s="543"/>
      <c r="Q75" s="543"/>
      <c r="R75" s="543"/>
      <c r="S75" s="543"/>
      <c r="T75" s="543"/>
      <c r="U75" s="543"/>
      <c r="V75" s="543"/>
    </row>
    <row r="76" spans="1:33" ht="29.25" customHeight="1">
      <c r="A76" s="543" t="s">
        <v>192</v>
      </c>
      <c r="B76" s="543"/>
      <c r="C76" s="543"/>
      <c r="D76" s="543"/>
      <c r="E76" s="543"/>
      <c r="F76" s="543"/>
      <c r="G76" s="543"/>
      <c r="H76" s="543"/>
      <c r="I76" s="543"/>
      <c r="J76" s="543"/>
      <c r="K76" s="543"/>
      <c r="L76" s="543"/>
      <c r="M76" s="543"/>
      <c r="N76" s="543"/>
      <c r="O76" s="543"/>
      <c r="P76" s="543"/>
      <c r="Q76" s="543"/>
      <c r="R76" s="543"/>
      <c r="S76" s="543"/>
      <c r="T76" s="543"/>
      <c r="U76" s="543"/>
      <c r="V76" s="543"/>
    </row>
    <row r="77" spans="1:33" ht="21" customHeight="1">
      <c r="A77" s="543" t="s">
        <v>140</v>
      </c>
      <c r="B77" s="543"/>
      <c r="C77" s="543"/>
      <c r="D77" s="543"/>
      <c r="E77" s="543"/>
      <c r="F77" s="543"/>
      <c r="G77" s="543"/>
      <c r="H77" s="543"/>
      <c r="I77" s="543"/>
      <c r="J77" s="543"/>
      <c r="K77" s="543"/>
      <c r="L77" s="543"/>
      <c r="M77" s="543"/>
      <c r="N77" s="543"/>
      <c r="O77" s="543"/>
      <c r="P77" s="543"/>
      <c r="Q77" s="543"/>
      <c r="R77" s="543"/>
      <c r="S77" s="543"/>
      <c r="T77" s="543"/>
      <c r="U77" s="543"/>
      <c r="V77" s="543"/>
    </row>
    <row r="78" spans="1:33" s="76" customFormat="1" ht="20.25" customHeight="1">
      <c r="A78" s="540" t="s">
        <v>217</v>
      </c>
      <c r="B78" s="540"/>
      <c r="C78" s="540"/>
      <c r="D78" s="540"/>
      <c r="E78" s="540"/>
      <c r="F78" s="540"/>
      <c r="G78" s="540"/>
      <c r="H78" s="540"/>
      <c r="I78" s="540"/>
      <c r="J78" s="540"/>
      <c r="K78" s="540"/>
      <c r="L78" s="540"/>
      <c r="M78" s="540"/>
      <c r="N78" s="540"/>
      <c r="O78" s="540"/>
      <c r="P78" s="540"/>
      <c r="Q78" s="540"/>
      <c r="R78" s="540"/>
      <c r="S78" s="540"/>
      <c r="T78" s="540"/>
      <c r="U78" s="540"/>
      <c r="V78" s="540"/>
    </row>
    <row r="79" spans="1:33" ht="38.25" customHeight="1">
      <c r="A79" s="543" t="s">
        <v>193</v>
      </c>
      <c r="B79" s="543"/>
      <c r="C79" s="543"/>
      <c r="D79" s="543"/>
      <c r="E79" s="543"/>
      <c r="F79" s="543"/>
      <c r="G79" s="543"/>
      <c r="H79" s="543"/>
      <c r="I79" s="543"/>
      <c r="J79" s="543"/>
      <c r="K79" s="543"/>
      <c r="L79" s="543"/>
      <c r="M79" s="543"/>
      <c r="N79" s="543"/>
      <c r="O79" s="543"/>
      <c r="P79" s="543"/>
      <c r="Q79" s="543"/>
      <c r="R79" s="543"/>
      <c r="S79" s="543"/>
      <c r="T79" s="543"/>
      <c r="U79" s="543"/>
      <c r="V79" s="543"/>
    </row>
    <row r="80" spans="1:33" ht="54.75" customHeight="1">
      <c r="A80" s="543" t="s">
        <v>141</v>
      </c>
      <c r="B80" s="543"/>
      <c r="C80" s="543"/>
      <c r="D80" s="543"/>
      <c r="E80" s="543"/>
      <c r="F80" s="543"/>
      <c r="G80" s="543"/>
      <c r="H80" s="543"/>
      <c r="I80" s="543"/>
      <c r="J80" s="543"/>
      <c r="K80" s="543"/>
      <c r="L80" s="543"/>
      <c r="M80" s="543"/>
      <c r="N80" s="543"/>
      <c r="O80" s="543"/>
      <c r="P80" s="543"/>
      <c r="Q80" s="543"/>
      <c r="R80" s="543"/>
      <c r="S80" s="543"/>
      <c r="T80" s="543"/>
      <c r="U80" s="543"/>
      <c r="V80" s="543"/>
    </row>
    <row r="81" spans="1:22" ht="54.75" customHeight="1">
      <c r="A81" s="543" t="s">
        <v>188</v>
      </c>
      <c r="B81" s="543"/>
      <c r="C81" s="543"/>
      <c r="D81" s="543"/>
      <c r="E81" s="543"/>
      <c r="F81" s="543"/>
      <c r="G81" s="543"/>
      <c r="H81" s="543"/>
      <c r="I81" s="543"/>
      <c r="J81" s="543"/>
      <c r="K81" s="543"/>
      <c r="L81" s="543"/>
      <c r="M81" s="543"/>
      <c r="N81" s="543"/>
      <c r="O81" s="543"/>
      <c r="P81" s="543"/>
      <c r="Q81" s="543"/>
      <c r="R81" s="543"/>
      <c r="S81" s="543"/>
      <c r="T81" s="543"/>
      <c r="U81" s="543"/>
      <c r="V81" s="543"/>
    </row>
    <row r="82" spans="1:22" ht="153.75" customHeight="1">
      <c r="A82" s="543" t="s">
        <v>194</v>
      </c>
      <c r="B82" s="543"/>
      <c r="C82" s="543"/>
      <c r="D82" s="543"/>
      <c r="E82" s="543"/>
      <c r="F82" s="543"/>
      <c r="G82" s="543"/>
      <c r="H82" s="543"/>
      <c r="I82" s="543"/>
      <c r="J82" s="543"/>
      <c r="K82" s="543"/>
      <c r="L82" s="543"/>
      <c r="M82" s="543"/>
      <c r="N82" s="543"/>
      <c r="O82" s="543"/>
      <c r="P82" s="543"/>
      <c r="Q82" s="543"/>
      <c r="R82" s="543"/>
      <c r="S82" s="543"/>
      <c r="T82" s="543"/>
      <c r="U82" s="543"/>
      <c r="V82" s="543"/>
    </row>
    <row r="83" spans="1:22" ht="21" customHeight="1">
      <c r="A83" s="543" t="s">
        <v>189</v>
      </c>
      <c r="B83" s="543"/>
      <c r="C83" s="543"/>
      <c r="D83" s="543"/>
      <c r="E83" s="543"/>
      <c r="F83" s="543"/>
      <c r="G83" s="543"/>
      <c r="H83" s="543"/>
      <c r="I83" s="543"/>
      <c r="J83" s="543"/>
      <c r="K83" s="543"/>
      <c r="L83" s="543"/>
      <c r="M83" s="543"/>
      <c r="N83" s="543"/>
      <c r="O83" s="543"/>
      <c r="P83" s="543"/>
      <c r="Q83" s="543"/>
      <c r="R83" s="543"/>
      <c r="S83" s="543"/>
      <c r="T83" s="543"/>
      <c r="U83" s="543"/>
      <c r="V83" s="543"/>
    </row>
    <row r="84" spans="1:22" ht="45" customHeight="1">
      <c r="A84" s="543" t="s">
        <v>195</v>
      </c>
      <c r="B84" s="543"/>
      <c r="C84" s="543"/>
      <c r="D84" s="543"/>
      <c r="E84" s="543"/>
      <c r="F84" s="543"/>
      <c r="G84" s="543"/>
      <c r="H84" s="543"/>
      <c r="I84" s="543"/>
      <c r="J84" s="543"/>
      <c r="K84" s="543"/>
      <c r="L84" s="543"/>
      <c r="M84" s="543"/>
      <c r="N84" s="543"/>
      <c r="O84" s="543"/>
      <c r="P84" s="543"/>
      <c r="Q84" s="543"/>
      <c r="R84" s="543"/>
      <c r="S84" s="543"/>
      <c r="T84" s="543"/>
      <c r="U84" s="543"/>
      <c r="V84" s="543"/>
    </row>
    <row r="85" spans="1:22" ht="21" customHeight="1">
      <c r="A85" s="543" t="s">
        <v>185</v>
      </c>
      <c r="B85" s="543"/>
      <c r="C85" s="543"/>
      <c r="D85" s="543"/>
      <c r="E85" s="543"/>
      <c r="F85" s="543"/>
      <c r="G85" s="543"/>
      <c r="H85" s="543"/>
      <c r="I85" s="543"/>
      <c r="J85" s="543"/>
      <c r="K85" s="543"/>
      <c r="L85" s="543"/>
      <c r="M85" s="543"/>
      <c r="N85" s="543"/>
      <c r="O85" s="543"/>
      <c r="P85" s="543"/>
      <c r="Q85" s="543"/>
      <c r="R85" s="543"/>
      <c r="S85" s="543"/>
      <c r="T85" s="543"/>
      <c r="U85" s="543"/>
      <c r="V85" s="543"/>
    </row>
    <row r="86" spans="1:22" ht="35.25" customHeight="1">
      <c r="A86" s="543" t="s">
        <v>181</v>
      </c>
      <c r="B86" s="543"/>
      <c r="C86" s="543"/>
      <c r="D86" s="543"/>
      <c r="E86" s="543"/>
      <c r="F86" s="543"/>
      <c r="G86" s="543"/>
      <c r="H86" s="543"/>
      <c r="I86" s="543"/>
      <c r="J86" s="543"/>
      <c r="K86" s="543"/>
      <c r="L86" s="543"/>
      <c r="M86" s="543"/>
      <c r="N86" s="543"/>
      <c r="O86" s="543"/>
      <c r="P86" s="543"/>
      <c r="Q86" s="543"/>
      <c r="R86" s="543"/>
      <c r="S86" s="543"/>
      <c r="T86" s="543"/>
      <c r="U86" s="543"/>
      <c r="V86" s="543"/>
    </row>
    <row r="87" spans="1:22" ht="21" customHeight="1">
      <c r="A87" s="543" t="s">
        <v>146</v>
      </c>
      <c r="B87" s="543"/>
      <c r="C87" s="543"/>
      <c r="D87" s="543"/>
      <c r="E87" s="543"/>
      <c r="F87" s="543"/>
      <c r="G87" s="543"/>
      <c r="H87" s="543"/>
      <c r="I87" s="543"/>
      <c r="J87" s="543"/>
      <c r="K87" s="543"/>
      <c r="L87" s="543"/>
      <c r="M87" s="543"/>
      <c r="N87" s="543"/>
      <c r="O87" s="543"/>
      <c r="P87" s="543"/>
      <c r="Q87" s="543"/>
      <c r="R87" s="543"/>
      <c r="S87" s="543"/>
      <c r="T87" s="543"/>
      <c r="U87" s="543"/>
      <c r="V87" s="543"/>
    </row>
    <row r="88" spans="1:22" ht="21" customHeight="1">
      <c r="A88" s="543" t="s">
        <v>186</v>
      </c>
      <c r="B88" s="543"/>
      <c r="C88" s="543"/>
      <c r="D88" s="543"/>
      <c r="E88" s="543"/>
      <c r="F88" s="543"/>
      <c r="G88" s="543"/>
      <c r="H88" s="543"/>
      <c r="I88" s="543"/>
      <c r="J88" s="543"/>
      <c r="K88" s="543"/>
      <c r="L88" s="543"/>
      <c r="M88" s="543"/>
      <c r="N88" s="543"/>
      <c r="O88" s="543"/>
      <c r="P88" s="543"/>
      <c r="Q88" s="543"/>
      <c r="R88" s="543"/>
      <c r="S88" s="543"/>
      <c r="T88" s="543"/>
      <c r="U88" s="543"/>
      <c r="V88" s="543"/>
    </row>
    <row r="89" spans="1:22" ht="21" customHeight="1">
      <c r="A89" s="543" t="s">
        <v>100</v>
      </c>
      <c r="B89" s="543"/>
      <c r="C89" s="543"/>
      <c r="D89" s="543"/>
      <c r="E89" s="543"/>
      <c r="F89" s="543"/>
      <c r="G89" s="543"/>
      <c r="H89" s="543"/>
      <c r="I89" s="543"/>
      <c r="J89" s="543"/>
      <c r="K89" s="543"/>
      <c r="L89" s="543"/>
      <c r="M89" s="543"/>
      <c r="N89" s="543"/>
      <c r="O89" s="543"/>
      <c r="P89" s="543"/>
      <c r="Q89" s="543"/>
      <c r="R89" s="543"/>
      <c r="S89" s="543"/>
      <c r="T89" s="543"/>
      <c r="U89" s="543"/>
      <c r="V89" s="543"/>
    </row>
    <row r="90" spans="1:22" s="40" customFormat="1" ht="42.75" customHeight="1">
      <c r="A90" s="544" t="s">
        <v>148</v>
      </c>
      <c r="B90" s="544"/>
      <c r="C90" s="544"/>
      <c r="D90" s="544"/>
      <c r="E90" s="544"/>
      <c r="F90" s="544"/>
      <c r="G90" s="544"/>
      <c r="H90" s="544"/>
      <c r="I90" s="544"/>
      <c r="J90" s="544"/>
      <c r="K90" s="544"/>
      <c r="L90" s="544"/>
      <c r="M90" s="544"/>
      <c r="N90" s="544"/>
      <c r="O90" s="544"/>
      <c r="P90" s="544"/>
      <c r="Q90" s="544"/>
      <c r="R90" s="544"/>
      <c r="S90" s="544"/>
      <c r="T90" s="544"/>
      <c r="U90" s="544"/>
      <c r="V90" s="544"/>
    </row>
    <row r="91" spans="1:22" ht="21" customHeight="1">
      <c r="A91" s="543" t="s">
        <v>149</v>
      </c>
      <c r="B91" s="543"/>
      <c r="C91" s="543"/>
      <c r="D91" s="543"/>
      <c r="E91" s="543"/>
      <c r="F91" s="543"/>
      <c r="G91" s="543"/>
      <c r="H91" s="543"/>
      <c r="I91" s="543"/>
      <c r="J91" s="543"/>
      <c r="K91" s="543"/>
      <c r="L91" s="543"/>
      <c r="M91" s="543"/>
      <c r="N91" s="543"/>
      <c r="O91" s="543"/>
      <c r="P91" s="543"/>
      <c r="Q91" s="543"/>
      <c r="R91" s="543"/>
      <c r="S91" s="543"/>
      <c r="T91" s="543"/>
      <c r="U91" s="543"/>
      <c r="V91" s="543"/>
    </row>
    <row r="92" spans="1:22" s="40" customFormat="1" ht="72" customHeight="1">
      <c r="A92" s="544" t="s">
        <v>101</v>
      </c>
      <c r="B92" s="544"/>
      <c r="C92" s="544"/>
      <c r="D92" s="544"/>
      <c r="E92" s="544"/>
      <c r="F92" s="544"/>
      <c r="G92" s="544"/>
      <c r="H92" s="544"/>
      <c r="I92" s="544"/>
      <c r="J92" s="544"/>
      <c r="K92" s="544"/>
      <c r="L92" s="544"/>
      <c r="M92" s="544"/>
      <c r="N92" s="544"/>
      <c r="O92" s="544"/>
      <c r="P92" s="544"/>
      <c r="Q92" s="544"/>
      <c r="R92" s="544"/>
      <c r="S92" s="544"/>
      <c r="T92" s="544"/>
      <c r="U92" s="544"/>
      <c r="V92" s="544"/>
    </row>
    <row r="112" spans="1:65">
      <c r="A112" s="526"/>
      <c r="B112" s="28"/>
      <c r="C112" s="170"/>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row>
    <row r="113" spans="1:65">
      <c r="A113" s="527"/>
      <c r="B113" s="170"/>
      <c r="C113" s="170"/>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row>
  </sheetData>
  <mergeCells count="39">
    <mergeCell ref="A81:V81"/>
    <mergeCell ref="A82:V82"/>
    <mergeCell ref="A73:V73"/>
    <mergeCell ref="A74:V74"/>
    <mergeCell ref="A91:V91"/>
    <mergeCell ref="A76:V76"/>
    <mergeCell ref="A77:V77"/>
    <mergeCell ref="A92:V92"/>
    <mergeCell ref="A62:V62"/>
    <mergeCell ref="A63:V63"/>
    <mergeCell ref="A87:V87"/>
    <mergeCell ref="A88:V88"/>
    <mergeCell ref="A89:V89"/>
    <mergeCell ref="A90:V90"/>
    <mergeCell ref="A83:V83"/>
    <mergeCell ref="A84:V84"/>
    <mergeCell ref="A85:V85"/>
    <mergeCell ref="A86:V86"/>
    <mergeCell ref="A79:V79"/>
    <mergeCell ref="A80:V80"/>
    <mergeCell ref="A78:V78"/>
    <mergeCell ref="A71:V71"/>
    <mergeCell ref="A66:V66"/>
    <mergeCell ref="A51:V51"/>
    <mergeCell ref="A48:V48"/>
    <mergeCell ref="A49:V49"/>
    <mergeCell ref="A50:V50"/>
    <mergeCell ref="A65:V65"/>
    <mergeCell ref="A67:V67"/>
    <mergeCell ref="A68:V68"/>
    <mergeCell ref="A69:V69"/>
    <mergeCell ref="A70:V70"/>
    <mergeCell ref="A75:V75"/>
    <mergeCell ref="A72:V72"/>
    <mergeCell ref="F3:G3"/>
    <mergeCell ref="I3:J3"/>
    <mergeCell ref="L3:M3"/>
    <mergeCell ref="O3:P3"/>
    <mergeCell ref="R3:S3"/>
  </mergeCells>
  <pageMargins left="0.75" right="0.75" top="0.5" bottom="0.21" header="0.5" footer="0.24"/>
  <pageSetup paperSize="9" orientation="landscape" r:id="rId1"/>
  <headerFooter alignWithMargins="0"/>
  <ignoredErrors>
    <ignoredError sqref="H6:Q6"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89"/>
  <sheetViews>
    <sheetView zoomScaleNormal="100" workbookViewId="0"/>
  </sheetViews>
  <sheetFormatPr defaultRowHeight="12.75"/>
  <cols>
    <col min="1" max="1" width="18.7109375" style="524" customWidth="1"/>
    <col min="2" max="2" width="9.5703125" style="1" bestFit="1" customWidth="1"/>
    <col min="3" max="3" width="12.7109375" style="1" customWidth="1"/>
    <col min="4" max="4" width="12.7109375" style="11" customWidth="1"/>
    <col min="5" max="5" width="8.7109375" style="2" customWidth="1"/>
    <col min="6" max="7" width="12.7109375" style="2" customWidth="1"/>
    <col min="8" max="8" width="8.7109375" style="2" customWidth="1"/>
    <col min="9" max="10" width="12.7109375" style="2" customWidth="1"/>
    <col min="11" max="11" width="8.7109375" style="2" customWidth="1"/>
    <col min="12" max="13" width="12.7109375" style="2" customWidth="1"/>
    <col min="14" max="14" width="8.7109375" style="2" customWidth="1"/>
    <col min="15" max="16" width="12.7109375" style="2" customWidth="1"/>
    <col min="17" max="17" width="8.7109375" style="2" customWidth="1"/>
    <col min="18" max="19" width="12.7109375" style="2" customWidth="1"/>
    <col min="20" max="20" width="12.7109375" style="11" customWidth="1"/>
    <col min="21" max="21" width="5" style="2" bestFit="1" customWidth="1"/>
    <col min="22" max="22" width="15.42578125" style="13" customWidth="1"/>
    <col min="23" max="23" width="12.7109375" style="4" hidden="1" customWidth="1"/>
    <col min="24" max="29" width="12.7109375" style="4" customWidth="1"/>
    <col min="30" max="16384" width="9.140625" style="4"/>
  </cols>
  <sheetData>
    <row r="1" spans="1:23" s="41" customFormat="1" ht="30" customHeight="1">
      <c r="A1" s="514" t="s">
        <v>44</v>
      </c>
      <c r="B1" s="102"/>
      <c r="C1" s="508"/>
      <c r="D1" s="49"/>
      <c r="E1" s="45"/>
      <c r="F1" s="45"/>
      <c r="G1" s="45"/>
      <c r="H1" s="45"/>
      <c r="I1" s="45"/>
      <c r="J1" s="45"/>
      <c r="K1" s="45"/>
      <c r="L1" s="45"/>
      <c r="M1" s="45"/>
      <c r="N1" s="45"/>
      <c r="O1" s="45"/>
      <c r="P1" s="45"/>
      <c r="Q1" s="45"/>
      <c r="R1" s="45"/>
      <c r="S1" s="45"/>
      <c r="T1" s="49"/>
      <c r="U1" s="45"/>
      <c r="V1" s="51"/>
    </row>
    <row r="2" spans="1:23" s="41" customFormat="1" ht="30" customHeight="1">
      <c r="A2" s="514" t="s">
        <v>103</v>
      </c>
      <c r="B2" s="102"/>
      <c r="C2" s="508"/>
      <c r="D2" s="49"/>
      <c r="E2" s="45"/>
      <c r="F2" s="45"/>
      <c r="G2" s="45"/>
      <c r="H2" s="45"/>
      <c r="I2" s="45"/>
      <c r="J2" s="45"/>
      <c r="K2" s="45"/>
      <c r="L2" s="45"/>
      <c r="M2" s="45"/>
      <c r="N2" s="45"/>
      <c r="O2" s="45"/>
      <c r="P2" s="45"/>
      <c r="Q2" s="45"/>
      <c r="R2" s="45"/>
      <c r="S2" s="45"/>
      <c r="T2" s="49"/>
      <c r="U2" s="45"/>
      <c r="V2" s="51"/>
    </row>
    <row r="3" spans="1:23" s="41" customFormat="1" ht="30" customHeight="1">
      <c r="A3" s="514"/>
      <c r="B3" s="102"/>
      <c r="C3" s="508"/>
      <c r="D3" s="49"/>
      <c r="E3" s="45"/>
      <c r="F3" s="546" t="s">
        <v>248</v>
      </c>
      <c r="G3" s="547"/>
      <c r="H3" s="45"/>
      <c r="I3" s="546" t="s">
        <v>248</v>
      </c>
      <c r="J3" s="547"/>
      <c r="K3" s="45"/>
      <c r="L3" s="546" t="s">
        <v>248</v>
      </c>
      <c r="M3" s="547"/>
      <c r="N3" s="45"/>
      <c r="O3" s="546" t="s">
        <v>248</v>
      </c>
      <c r="P3" s="547"/>
      <c r="Q3" s="45"/>
      <c r="R3" s="546" t="s">
        <v>248</v>
      </c>
      <c r="S3" s="547"/>
      <c r="T3" s="49"/>
      <c r="U3" s="45"/>
      <c r="V3" s="51"/>
    </row>
    <row r="4" spans="1:23" s="30" customFormat="1" ht="48.75" customHeight="1">
      <c r="A4" s="515" t="s">
        <v>3</v>
      </c>
      <c r="B4" s="297" t="s">
        <v>231</v>
      </c>
      <c r="C4" s="210" t="s">
        <v>1</v>
      </c>
      <c r="D4" s="300" t="s">
        <v>232</v>
      </c>
      <c r="E4" s="211" t="s">
        <v>233</v>
      </c>
      <c r="F4" s="214" t="s">
        <v>234</v>
      </c>
      <c r="G4" s="215" t="s">
        <v>235</v>
      </c>
      <c r="H4" s="211" t="s">
        <v>245</v>
      </c>
      <c r="I4" s="214" t="s">
        <v>246</v>
      </c>
      <c r="J4" s="215" t="s">
        <v>247</v>
      </c>
      <c r="K4" s="211" t="s">
        <v>245</v>
      </c>
      <c r="L4" s="214" t="s">
        <v>246</v>
      </c>
      <c r="M4" s="215" t="s">
        <v>247</v>
      </c>
      <c r="N4" s="211" t="s">
        <v>245</v>
      </c>
      <c r="O4" s="214" t="s">
        <v>246</v>
      </c>
      <c r="P4" s="215" t="s">
        <v>247</v>
      </c>
      <c r="Q4" s="211" t="s">
        <v>245</v>
      </c>
      <c r="R4" s="214" t="s">
        <v>246</v>
      </c>
      <c r="S4" s="215" t="s">
        <v>247</v>
      </c>
      <c r="T4" s="212" t="s">
        <v>236</v>
      </c>
      <c r="U4" s="210" t="s">
        <v>2</v>
      </c>
      <c r="V4" s="213" t="s">
        <v>252</v>
      </c>
      <c r="W4" s="496" t="s">
        <v>258</v>
      </c>
    </row>
    <row r="5" spans="1:23" ht="15" customHeight="1">
      <c r="A5" s="244" t="s">
        <v>33</v>
      </c>
      <c r="B5" s="381">
        <v>0</v>
      </c>
      <c r="C5" s="270" t="s">
        <v>250</v>
      </c>
      <c r="D5" s="384" t="s">
        <v>5</v>
      </c>
      <c r="E5" s="363" t="s">
        <v>5</v>
      </c>
      <c r="F5" s="390" t="s">
        <v>5</v>
      </c>
      <c r="G5" s="404" t="s">
        <v>5</v>
      </c>
      <c r="H5" s="364"/>
      <c r="I5" s="390"/>
      <c r="J5" s="404"/>
      <c r="K5" s="364"/>
      <c r="L5" s="390"/>
      <c r="M5" s="404"/>
      <c r="N5" s="364"/>
      <c r="O5" s="390"/>
      <c r="P5" s="404"/>
      <c r="Q5" s="364"/>
      <c r="R5" s="390"/>
      <c r="S5" s="404"/>
      <c r="T5" s="206" t="s">
        <v>5</v>
      </c>
      <c r="U5" s="270" t="s">
        <v>5</v>
      </c>
      <c r="V5" s="370" t="s">
        <v>5</v>
      </c>
      <c r="W5" s="4" t="str">
        <f>IF(U5="TY","A",IF(U5="TY/TYs","AB",IF(U5="TYs", "B",IF(U5="TC","C",IF(U5="-","",)))))</f>
        <v/>
      </c>
    </row>
    <row r="6" spans="1:23" ht="15" customHeight="1">
      <c r="A6" s="339" t="s">
        <v>50</v>
      </c>
      <c r="B6" s="266">
        <v>1</v>
      </c>
      <c r="C6" s="28" t="s">
        <v>7</v>
      </c>
      <c r="D6" s="302" t="s">
        <v>5</v>
      </c>
      <c r="E6" s="127">
        <f>3.95+3+10.25+(0.5+0.5)*6/7</f>
        <v>18.057142857142857</v>
      </c>
      <c r="F6" s="145" t="str">
        <f>"["&amp;349.01*14&amp;"]"</f>
        <v>[4886.14]</v>
      </c>
      <c r="G6" s="146">
        <f>3930*14</f>
        <v>55020</v>
      </c>
      <c r="H6" s="175" t="s">
        <v>5</v>
      </c>
      <c r="I6" s="400" t="s">
        <v>5</v>
      </c>
      <c r="J6" s="396" t="s">
        <v>5</v>
      </c>
      <c r="K6" s="175" t="s">
        <v>5</v>
      </c>
      <c r="L6" s="400" t="s">
        <v>5</v>
      </c>
      <c r="M6" s="396" t="s">
        <v>5</v>
      </c>
      <c r="N6" s="175" t="s">
        <v>5</v>
      </c>
      <c r="O6" s="400" t="s">
        <v>5</v>
      </c>
      <c r="P6" s="396" t="s">
        <v>5</v>
      </c>
      <c r="Q6" s="175" t="s">
        <v>5</v>
      </c>
      <c r="R6" s="400" t="s">
        <v>5</v>
      </c>
      <c r="S6" s="396" t="s">
        <v>5</v>
      </c>
      <c r="T6" s="192">
        <f>G6*E6/100</f>
        <v>9935.0400000000009</v>
      </c>
      <c r="U6" s="19" t="s">
        <v>6</v>
      </c>
      <c r="V6" s="371">
        <v>100</v>
      </c>
      <c r="W6" s="4" t="str">
        <f t="shared" ref="W6:W45" si="0">IF(U6="TY","A",IF(U6="TY/TYs","AB",IF(U6="TYs", "B",IF(U6="TC","C",IF(U6="-","",)))))</f>
        <v>A</v>
      </c>
    </row>
    <row r="7" spans="1:23" ht="15" customHeight="1">
      <c r="A7" s="235" t="s">
        <v>26</v>
      </c>
      <c r="B7" s="266">
        <v>1</v>
      </c>
      <c r="C7" s="19" t="s">
        <v>7</v>
      </c>
      <c r="D7" s="302" t="s">
        <v>5</v>
      </c>
      <c r="E7" s="127">
        <f>(0.0087+0.0115+0.0355+0.075)*100</f>
        <v>13.069999999999999</v>
      </c>
      <c r="F7" s="392" t="s">
        <v>5</v>
      </c>
      <c r="G7" s="393" t="s">
        <v>5</v>
      </c>
      <c r="H7" s="175" t="s">
        <v>5</v>
      </c>
      <c r="I7" s="400" t="s">
        <v>5</v>
      </c>
      <c r="J7" s="396" t="s">
        <v>5</v>
      </c>
      <c r="K7" s="175" t="s">
        <v>5</v>
      </c>
      <c r="L7" s="400" t="s">
        <v>5</v>
      </c>
      <c r="M7" s="396" t="s">
        <v>5</v>
      </c>
      <c r="N7" s="175" t="s">
        <v>5</v>
      </c>
      <c r="O7" s="400" t="s">
        <v>5</v>
      </c>
      <c r="P7" s="396" t="s">
        <v>5</v>
      </c>
      <c r="Q7" s="175" t="s">
        <v>5</v>
      </c>
      <c r="R7" s="400" t="s">
        <v>5</v>
      </c>
      <c r="S7" s="396" t="s">
        <v>5</v>
      </c>
      <c r="T7" s="203" t="s">
        <v>5</v>
      </c>
      <c r="U7" s="19" t="s">
        <v>6</v>
      </c>
      <c r="V7" s="371">
        <v>100</v>
      </c>
      <c r="W7" s="4" t="str">
        <f t="shared" si="0"/>
        <v>A</v>
      </c>
    </row>
    <row r="8" spans="1:23" ht="15" customHeight="1">
      <c r="A8" s="235" t="s">
        <v>49</v>
      </c>
      <c r="B8" s="266">
        <v>1</v>
      </c>
      <c r="C8" s="19" t="s">
        <v>8</v>
      </c>
      <c r="D8" s="303" t="s">
        <v>5</v>
      </c>
      <c r="E8" s="127">
        <f>0.0173*100</f>
        <v>1.73</v>
      </c>
      <c r="F8" s="145">
        <v>0</v>
      </c>
      <c r="G8" s="146">
        <v>3500</v>
      </c>
      <c r="H8" s="127">
        <f>E8+(0.0495*100)</f>
        <v>6.68</v>
      </c>
      <c r="I8" s="145">
        <f>G8</f>
        <v>3500</v>
      </c>
      <c r="J8" s="146">
        <f>711.03/0.0173</f>
        <v>41100</v>
      </c>
      <c r="K8" s="127">
        <f>0.0495*100</f>
        <v>4.95</v>
      </c>
      <c r="L8" s="145">
        <f>J8</f>
        <v>41100</v>
      </c>
      <c r="M8" s="146">
        <f>(2049.3/0.0495)+3500</f>
        <v>44900</v>
      </c>
      <c r="N8" s="175" t="s">
        <v>5</v>
      </c>
      <c r="O8" s="400" t="s">
        <v>5</v>
      </c>
      <c r="P8" s="396" t="s">
        <v>5</v>
      </c>
      <c r="Q8" s="175" t="s">
        <v>5</v>
      </c>
      <c r="R8" s="400" t="s">
        <v>5</v>
      </c>
      <c r="S8" s="396" t="s">
        <v>5</v>
      </c>
      <c r="T8" s="192">
        <f>(G8-F8)*E8/100 + (J8-I8)*H8/100 + (M8-L8)*K8/100</f>
        <v>2760.33</v>
      </c>
      <c r="U8" s="67" t="s">
        <v>5</v>
      </c>
      <c r="V8" s="372" t="s">
        <v>5</v>
      </c>
      <c r="W8" s="4" t="str">
        <f t="shared" si="0"/>
        <v/>
      </c>
    </row>
    <row r="9" spans="1:23" ht="15" customHeight="1">
      <c r="A9" s="235" t="s">
        <v>66</v>
      </c>
      <c r="B9" s="266">
        <v>1</v>
      </c>
      <c r="C9" s="19" t="s">
        <v>7</v>
      </c>
      <c r="D9" s="303" t="s">
        <v>5</v>
      </c>
      <c r="E9" s="127">
        <f>0.07*100</f>
        <v>7.0000000000000009</v>
      </c>
      <c r="F9" s="145">
        <v>0</v>
      </c>
      <c r="G9" s="146">
        <f>15445850.4/12</f>
        <v>1287154.2</v>
      </c>
      <c r="H9" s="175" t="s">
        <v>5</v>
      </c>
      <c r="I9" s="400" t="s">
        <v>5</v>
      </c>
      <c r="J9" s="396" t="s">
        <v>5</v>
      </c>
      <c r="K9" s="175" t="s">
        <v>5</v>
      </c>
      <c r="L9" s="400" t="s">
        <v>5</v>
      </c>
      <c r="M9" s="396" t="s">
        <v>5</v>
      </c>
      <c r="N9" s="175" t="s">
        <v>5</v>
      </c>
      <c r="O9" s="400" t="s">
        <v>5</v>
      </c>
      <c r="P9" s="396" t="s">
        <v>5</v>
      </c>
      <c r="Q9" s="175" t="s">
        <v>5</v>
      </c>
      <c r="R9" s="400" t="s">
        <v>5</v>
      </c>
      <c r="S9" s="396" t="s">
        <v>5</v>
      </c>
      <c r="T9" s="192">
        <f>E9/100*G9</f>
        <v>90100.794000000009</v>
      </c>
      <c r="U9" s="19" t="s">
        <v>5</v>
      </c>
      <c r="V9" s="371" t="s">
        <v>5</v>
      </c>
      <c r="W9" s="4" t="str">
        <f t="shared" si="0"/>
        <v/>
      </c>
    </row>
    <row r="10" spans="1:23" ht="15" customHeight="1">
      <c r="A10" s="235" t="s">
        <v>249</v>
      </c>
      <c r="B10" s="266">
        <v>1</v>
      </c>
      <c r="C10" s="28" t="s">
        <v>7</v>
      </c>
      <c r="D10" s="304" t="s">
        <v>5</v>
      </c>
      <c r="E10" s="127">
        <f>0.125*100</f>
        <v>12.5</v>
      </c>
      <c r="F10" s="394">
        <v>0</v>
      </c>
      <c r="G10" s="320">
        <v>86239</v>
      </c>
      <c r="H10" s="163" t="s">
        <v>5</v>
      </c>
      <c r="I10" s="395" t="s">
        <v>5</v>
      </c>
      <c r="J10" s="472" t="s">
        <v>5</v>
      </c>
      <c r="K10" s="163" t="s">
        <v>5</v>
      </c>
      <c r="L10" s="395" t="s">
        <v>5</v>
      </c>
      <c r="M10" s="472" t="s">
        <v>5</v>
      </c>
      <c r="N10" s="163" t="s">
        <v>5</v>
      </c>
      <c r="O10" s="395" t="s">
        <v>5</v>
      </c>
      <c r="P10" s="472" t="s">
        <v>5</v>
      </c>
      <c r="Q10" s="163" t="s">
        <v>5</v>
      </c>
      <c r="R10" s="395" t="s">
        <v>5</v>
      </c>
      <c r="S10" s="472" t="s">
        <v>5</v>
      </c>
      <c r="T10" s="192">
        <f>G10*E10/100</f>
        <v>10779.875</v>
      </c>
      <c r="U10" s="28" t="s">
        <v>5</v>
      </c>
      <c r="V10" s="373" t="s">
        <v>5</v>
      </c>
      <c r="W10" s="4" t="str">
        <f t="shared" si="0"/>
        <v/>
      </c>
    </row>
    <row r="11" spans="1:23" ht="15" customHeight="1">
      <c r="A11" s="235" t="s">
        <v>67</v>
      </c>
      <c r="B11" s="266">
        <v>1</v>
      </c>
      <c r="C11" s="19" t="s">
        <v>8</v>
      </c>
      <c r="D11" s="385">
        <v>975.6</v>
      </c>
      <c r="E11" s="207" t="s">
        <v>5</v>
      </c>
      <c r="F11" s="395" t="s">
        <v>5</v>
      </c>
      <c r="G11" s="396" t="s">
        <v>5</v>
      </c>
      <c r="H11" s="175" t="s">
        <v>5</v>
      </c>
      <c r="I11" s="400" t="s">
        <v>5</v>
      </c>
      <c r="J11" s="396" t="s">
        <v>5</v>
      </c>
      <c r="K11" s="175" t="s">
        <v>5</v>
      </c>
      <c r="L11" s="400" t="s">
        <v>5</v>
      </c>
      <c r="M11" s="396" t="s">
        <v>5</v>
      </c>
      <c r="N11" s="175" t="s">
        <v>5</v>
      </c>
      <c r="O11" s="400" t="s">
        <v>5</v>
      </c>
      <c r="P11" s="396" t="s">
        <v>5</v>
      </c>
      <c r="Q11" s="175" t="s">
        <v>5</v>
      </c>
      <c r="R11" s="400" t="s">
        <v>5</v>
      </c>
      <c r="S11" s="396" t="s">
        <v>5</v>
      </c>
      <c r="T11" s="188" t="s">
        <v>5</v>
      </c>
      <c r="U11" s="19" t="s">
        <v>6</v>
      </c>
      <c r="V11" s="374">
        <v>100</v>
      </c>
      <c r="W11" s="4" t="str">
        <f t="shared" si="0"/>
        <v>A</v>
      </c>
    </row>
    <row r="12" spans="1:23" ht="15" customHeight="1">
      <c r="A12" s="235" t="s">
        <v>58</v>
      </c>
      <c r="B12" s="266">
        <v>1</v>
      </c>
      <c r="C12" s="19" t="s">
        <v>7</v>
      </c>
      <c r="D12" s="302" t="s">
        <v>5</v>
      </c>
      <c r="E12" s="127">
        <f>0.006*100</f>
        <v>0.6</v>
      </c>
      <c r="F12" s="392" t="s">
        <v>5</v>
      </c>
      <c r="G12" s="393" t="s">
        <v>5</v>
      </c>
      <c r="H12" s="175" t="s">
        <v>5</v>
      </c>
      <c r="I12" s="400" t="s">
        <v>5</v>
      </c>
      <c r="J12" s="396" t="s">
        <v>5</v>
      </c>
      <c r="K12" s="175" t="s">
        <v>5</v>
      </c>
      <c r="L12" s="400" t="s">
        <v>5</v>
      </c>
      <c r="M12" s="396" t="s">
        <v>5</v>
      </c>
      <c r="N12" s="175" t="s">
        <v>5</v>
      </c>
      <c r="O12" s="400" t="s">
        <v>5</v>
      </c>
      <c r="P12" s="396" t="s">
        <v>5</v>
      </c>
      <c r="Q12" s="175" t="s">
        <v>5</v>
      </c>
      <c r="R12" s="400" t="s">
        <v>5</v>
      </c>
      <c r="S12" s="396" t="s">
        <v>5</v>
      </c>
      <c r="T12" s="203" t="s">
        <v>5</v>
      </c>
      <c r="U12" s="19" t="s">
        <v>6</v>
      </c>
      <c r="V12" s="374">
        <v>100</v>
      </c>
      <c r="W12" s="4" t="str">
        <f t="shared" si="0"/>
        <v>A</v>
      </c>
    </row>
    <row r="13" spans="1:23" ht="15" customHeight="1">
      <c r="A13" s="235" t="s">
        <v>9</v>
      </c>
      <c r="B13" s="266">
        <v>1</v>
      </c>
      <c r="C13" s="19" t="s">
        <v>10</v>
      </c>
      <c r="D13" s="306" t="s">
        <v>5</v>
      </c>
      <c r="E13" s="127">
        <f>0.0124*100</f>
        <v>1.24</v>
      </c>
      <c r="F13" s="145" t="s">
        <v>5</v>
      </c>
      <c r="G13" s="146" t="s">
        <v>5</v>
      </c>
      <c r="H13" s="175" t="s">
        <v>5</v>
      </c>
      <c r="I13" s="400" t="s">
        <v>5</v>
      </c>
      <c r="J13" s="396" t="s">
        <v>5</v>
      </c>
      <c r="K13" s="175" t="s">
        <v>5</v>
      </c>
      <c r="L13" s="400" t="s">
        <v>5</v>
      </c>
      <c r="M13" s="396" t="s">
        <v>5</v>
      </c>
      <c r="N13" s="175" t="s">
        <v>5</v>
      </c>
      <c r="O13" s="400" t="s">
        <v>5</v>
      </c>
      <c r="P13" s="396" t="s">
        <v>5</v>
      </c>
      <c r="Q13" s="175" t="s">
        <v>5</v>
      </c>
      <c r="R13" s="400" t="s">
        <v>5</v>
      </c>
      <c r="S13" s="396" t="s">
        <v>5</v>
      </c>
      <c r="T13" s="192" t="s">
        <v>5</v>
      </c>
      <c r="U13" s="19" t="s">
        <v>5</v>
      </c>
      <c r="V13" s="371" t="s">
        <v>5</v>
      </c>
      <c r="W13" s="4" t="str">
        <f t="shared" si="0"/>
        <v/>
      </c>
    </row>
    <row r="14" spans="1:23" ht="15" customHeight="1">
      <c r="A14" s="235" t="s">
        <v>9</v>
      </c>
      <c r="B14" s="266">
        <v>2</v>
      </c>
      <c r="C14" s="19" t="s">
        <v>8</v>
      </c>
      <c r="D14" s="306" t="s">
        <v>5</v>
      </c>
      <c r="E14" s="127">
        <f>0.0511*100</f>
        <v>5.1100000000000003</v>
      </c>
      <c r="F14" s="145" t="s">
        <v>5</v>
      </c>
      <c r="G14" s="146" t="s">
        <v>5</v>
      </c>
      <c r="H14" s="175" t="s">
        <v>5</v>
      </c>
      <c r="I14" s="400" t="s">
        <v>5</v>
      </c>
      <c r="J14" s="396" t="s">
        <v>5</v>
      </c>
      <c r="K14" s="175" t="s">
        <v>5</v>
      </c>
      <c r="L14" s="400" t="s">
        <v>5</v>
      </c>
      <c r="M14" s="396" t="s">
        <v>5</v>
      </c>
      <c r="N14" s="175" t="s">
        <v>5</v>
      </c>
      <c r="O14" s="400" t="s">
        <v>5</v>
      </c>
      <c r="P14" s="396" t="s">
        <v>5</v>
      </c>
      <c r="Q14" s="175" t="s">
        <v>5</v>
      </c>
      <c r="R14" s="400" t="s">
        <v>5</v>
      </c>
      <c r="S14" s="396" t="s">
        <v>5</v>
      </c>
      <c r="T14" s="192" t="s">
        <v>5</v>
      </c>
      <c r="U14" s="19" t="s">
        <v>6</v>
      </c>
      <c r="V14" s="371">
        <v>100</v>
      </c>
      <c r="W14" s="4" t="str">
        <f t="shared" si="0"/>
        <v>A</v>
      </c>
    </row>
    <row r="15" spans="1:23" ht="15" customHeight="1">
      <c r="A15" s="235" t="s">
        <v>52</v>
      </c>
      <c r="B15" s="266">
        <v>1</v>
      </c>
      <c r="C15" s="19" t="s">
        <v>8</v>
      </c>
      <c r="D15" s="303" t="s">
        <v>5</v>
      </c>
      <c r="E15" s="127">
        <f>(0.0665+0.0075+0.024+0.038+0.001)*100</f>
        <v>13.700000000000001</v>
      </c>
      <c r="F15" s="145">
        <v>0</v>
      </c>
      <c r="G15" s="146">
        <v>33276</v>
      </c>
      <c r="H15" s="127">
        <f>(0.0075+0.024+0.089+0.001)*100</f>
        <v>12.15</v>
      </c>
      <c r="I15" s="145">
        <f>+G15</f>
        <v>33276</v>
      </c>
      <c r="J15" s="146">
        <f>3*G15</f>
        <v>99828</v>
      </c>
      <c r="K15" s="127">
        <f>(0.0075+0.024+0.001)*100</f>
        <v>3.25</v>
      </c>
      <c r="L15" s="145">
        <f>+J15</f>
        <v>99828</v>
      </c>
      <c r="M15" s="146">
        <f>4*G15</f>
        <v>133104</v>
      </c>
      <c r="N15" s="127">
        <f>(0.0075+0.001)*100</f>
        <v>0.85000000000000009</v>
      </c>
      <c r="O15" s="145">
        <f>+M15</f>
        <v>133104</v>
      </c>
      <c r="P15" s="396" t="s">
        <v>5</v>
      </c>
      <c r="Q15" s="175" t="s">
        <v>5</v>
      </c>
      <c r="R15" s="400" t="s">
        <v>5</v>
      </c>
      <c r="S15" s="396" t="s">
        <v>5</v>
      </c>
      <c r="T15" s="188" t="s">
        <v>5</v>
      </c>
      <c r="U15" s="19" t="s">
        <v>6</v>
      </c>
      <c r="V15" s="371">
        <f>E15*100/E15</f>
        <v>99.999999999999986</v>
      </c>
      <c r="W15" s="4" t="str">
        <f t="shared" si="0"/>
        <v>A</v>
      </c>
    </row>
    <row r="16" spans="1:23" ht="15" customHeight="1">
      <c r="A16" s="272" t="s">
        <v>54</v>
      </c>
      <c r="B16" s="266">
        <v>1</v>
      </c>
      <c r="C16" s="19" t="s">
        <v>8</v>
      </c>
      <c r="D16" s="303" t="s">
        <v>5</v>
      </c>
      <c r="E16" s="127">
        <f>(0.0995+0.079+0.0165+0.0085)*100</f>
        <v>20.350000000000001</v>
      </c>
      <c r="F16" s="145">
        <v>0</v>
      </c>
      <c r="G16" s="146">
        <v>43200</v>
      </c>
      <c r="H16" s="127">
        <f>(0.0995+0.0165)*100</f>
        <v>11.600000000000001</v>
      </c>
      <c r="I16" s="145">
        <f>G16</f>
        <v>43200</v>
      </c>
      <c r="J16" s="146">
        <v>63600</v>
      </c>
      <c r="K16" s="175" t="s">
        <v>5</v>
      </c>
      <c r="L16" s="400" t="s">
        <v>5</v>
      </c>
      <c r="M16" s="396" t="s">
        <v>5</v>
      </c>
      <c r="N16" s="175" t="s">
        <v>5</v>
      </c>
      <c r="O16" s="400" t="s">
        <v>5</v>
      </c>
      <c r="P16" s="396" t="s">
        <v>5</v>
      </c>
      <c r="Q16" s="175" t="s">
        <v>5</v>
      </c>
      <c r="R16" s="400" t="s">
        <v>5</v>
      </c>
      <c r="S16" s="396" t="s">
        <v>5</v>
      </c>
      <c r="T16" s="192">
        <f>(G16-F16)*E16/100 + (J16-I16)*H16/100</f>
        <v>11157.6</v>
      </c>
      <c r="U16" s="19" t="s">
        <v>6</v>
      </c>
      <c r="V16" s="375" t="s">
        <v>218</v>
      </c>
      <c r="W16" s="4" t="str">
        <f t="shared" si="0"/>
        <v>A</v>
      </c>
    </row>
    <row r="17" spans="1:23" ht="15" customHeight="1">
      <c r="A17" s="235" t="s">
        <v>53</v>
      </c>
      <c r="B17" s="266">
        <v>1</v>
      </c>
      <c r="C17" s="19" t="s">
        <v>7</v>
      </c>
      <c r="D17" s="306" t="s">
        <v>5</v>
      </c>
      <c r="E17" s="127">
        <v>16</v>
      </c>
      <c r="F17" s="114">
        <v>0</v>
      </c>
      <c r="G17" s="115">
        <f>5438</f>
        <v>5438</v>
      </c>
      <c r="H17" s="120" t="s">
        <v>5</v>
      </c>
      <c r="I17" s="219" t="s">
        <v>5</v>
      </c>
      <c r="J17" s="180" t="s">
        <v>5</v>
      </c>
      <c r="K17" s="120" t="s">
        <v>5</v>
      </c>
      <c r="L17" s="219" t="s">
        <v>5</v>
      </c>
      <c r="M17" s="180" t="s">
        <v>5</v>
      </c>
      <c r="N17" s="120" t="s">
        <v>5</v>
      </c>
      <c r="O17" s="219" t="s">
        <v>5</v>
      </c>
      <c r="P17" s="180" t="s">
        <v>5</v>
      </c>
      <c r="Q17" s="120" t="s">
        <v>5</v>
      </c>
      <c r="R17" s="219" t="s">
        <v>5</v>
      </c>
      <c r="S17" s="180" t="s">
        <v>5</v>
      </c>
      <c r="T17" s="192">
        <f>G17*E17/100</f>
        <v>870.08</v>
      </c>
      <c r="U17" s="19" t="s">
        <v>6</v>
      </c>
      <c r="V17" s="371">
        <v>100</v>
      </c>
      <c r="W17" s="4" t="str">
        <f t="shared" si="0"/>
        <v>A</v>
      </c>
    </row>
    <row r="18" spans="1:23" ht="15" customHeight="1">
      <c r="A18" s="235" t="s">
        <v>23</v>
      </c>
      <c r="B18" s="266">
        <v>1</v>
      </c>
      <c r="C18" s="19" t="s">
        <v>8</v>
      </c>
      <c r="D18" s="302" t="s">
        <v>5</v>
      </c>
      <c r="E18" s="127">
        <f>0.095*100</f>
        <v>9.5</v>
      </c>
      <c r="F18" s="145">
        <v>0</v>
      </c>
      <c r="G18" s="146">
        <v>7137000</v>
      </c>
      <c r="H18" s="175" t="s">
        <v>5</v>
      </c>
      <c r="I18" s="400" t="s">
        <v>5</v>
      </c>
      <c r="J18" s="396" t="s">
        <v>5</v>
      </c>
      <c r="K18" s="175" t="s">
        <v>5</v>
      </c>
      <c r="L18" s="400" t="s">
        <v>5</v>
      </c>
      <c r="M18" s="396" t="s">
        <v>5</v>
      </c>
      <c r="N18" s="175" t="s">
        <v>5</v>
      </c>
      <c r="O18" s="400" t="s">
        <v>5</v>
      </c>
      <c r="P18" s="396" t="s">
        <v>5</v>
      </c>
      <c r="Q18" s="175" t="s">
        <v>5</v>
      </c>
      <c r="R18" s="400" t="s">
        <v>5</v>
      </c>
      <c r="S18" s="396" t="s">
        <v>5</v>
      </c>
      <c r="T18" s="203">
        <f>+G18*E18/100</f>
        <v>678015</v>
      </c>
      <c r="U18" s="23" t="s">
        <v>5</v>
      </c>
      <c r="V18" s="374" t="s">
        <v>5</v>
      </c>
      <c r="W18" s="4" t="str">
        <f t="shared" si="0"/>
        <v/>
      </c>
    </row>
    <row r="19" spans="1:23" ht="15" customHeight="1">
      <c r="A19" s="235" t="s">
        <v>23</v>
      </c>
      <c r="B19" s="266">
        <v>2</v>
      </c>
      <c r="C19" s="19" t="s">
        <v>8</v>
      </c>
      <c r="D19" s="302" t="s">
        <v>5</v>
      </c>
      <c r="E19" s="127">
        <f>(0.06+0.015)*100</f>
        <v>7.5</v>
      </c>
      <c r="F19" s="145" t="s">
        <v>5</v>
      </c>
      <c r="G19" s="146" t="s">
        <v>5</v>
      </c>
      <c r="H19" s="175" t="s">
        <v>5</v>
      </c>
      <c r="I19" s="400" t="s">
        <v>5</v>
      </c>
      <c r="J19" s="396" t="s">
        <v>5</v>
      </c>
      <c r="K19" s="175" t="s">
        <v>5</v>
      </c>
      <c r="L19" s="400" t="s">
        <v>5</v>
      </c>
      <c r="M19" s="396" t="s">
        <v>5</v>
      </c>
      <c r="N19" s="175" t="s">
        <v>5</v>
      </c>
      <c r="O19" s="400" t="s">
        <v>5</v>
      </c>
      <c r="P19" s="396" t="s">
        <v>5</v>
      </c>
      <c r="Q19" s="175" t="s">
        <v>5</v>
      </c>
      <c r="R19" s="400" t="s">
        <v>5</v>
      </c>
      <c r="S19" s="396" t="s">
        <v>5</v>
      </c>
      <c r="T19" s="203" t="s">
        <v>5</v>
      </c>
      <c r="U19" s="23" t="s">
        <v>5</v>
      </c>
      <c r="V19" s="374" t="s">
        <v>5</v>
      </c>
      <c r="W19" s="4" t="str">
        <f t="shared" si="0"/>
        <v/>
      </c>
    </row>
    <row r="20" spans="1:23" ht="15" customHeight="1">
      <c r="A20" s="235" t="s">
        <v>68</v>
      </c>
      <c r="B20" s="266">
        <v>1</v>
      </c>
      <c r="C20" s="28" t="s">
        <v>6</v>
      </c>
      <c r="D20" s="385">
        <f>7534+17200</f>
        <v>24734</v>
      </c>
      <c r="E20" s="127" t="s">
        <v>24</v>
      </c>
      <c r="F20" s="145">
        <v>1143362</v>
      </c>
      <c r="G20" s="115" t="s">
        <v>24</v>
      </c>
      <c r="H20" s="120" t="s">
        <v>5</v>
      </c>
      <c r="I20" s="219" t="s">
        <v>5</v>
      </c>
      <c r="J20" s="180" t="s">
        <v>5</v>
      </c>
      <c r="K20" s="120" t="s">
        <v>5</v>
      </c>
      <c r="L20" s="219" t="s">
        <v>5</v>
      </c>
      <c r="M20" s="180" t="s">
        <v>5</v>
      </c>
      <c r="N20" s="120" t="s">
        <v>5</v>
      </c>
      <c r="O20" s="219" t="s">
        <v>5</v>
      </c>
      <c r="P20" s="180" t="s">
        <v>5</v>
      </c>
      <c r="Q20" s="120" t="s">
        <v>5</v>
      </c>
      <c r="R20" s="219" t="s">
        <v>5</v>
      </c>
      <c r="S20" s="180" t="s">
        <v>5</v>
      </c>
      <c r="T20" s="192" t="s">
        <v>24</v>
      </c>
      <c r="U20" s="54" t="s">
        <v>5</v>
      </c>
      <c r="V20" s="374" t="s">
        <v>5</v>
      </c>
      <c r="W20" s="4" t="str">
        <f t="shared" si="0"/>
        <v/>
      </c>
    </row>
    <row r="21" spans="1:23" ht="15" customHeight="1">
      <c r="A21" s="235" t="s">
        <v>68</v>
      </c>
      <c r="B21" s="266">
        <v>2</v>
      </c>
      <c r="C21" s="28" t="s">
        <v>8</v>
      </c>
      <c r="D21" s="386" t="s">
        <v>5</v>
      </c>
      <c r="E21" s="127">
        <v>8</v>
      </c>
      <c r="F21" s="392" t="s">
        <v>5</v>
      </c>
      <c r="G21" s="317" t="s">
        <v>5</v>
      </c>
      <c r="H21" s="120" t="s">
        <v>5</v>
      </c>
      <c r="I21" s="219" t="s">
        <v>5</v>
      </c>
      <c r="J21" s="180" t="s">
        <v>5</v>
      </c>
      <c r="K21" s="120" t="s">
        <v>5</v>
      </c>
      <c r="L21" s="219" t="s">
        <v>5</v>
      </c>
      <c r="M21" s="180" t="s">
        <v>5</v>
      </c>
      <c r="N21" s="120" t="s">
        <v>5</v>
      </c>
      <c r="O21" s="219" t="s">
        <v>5</v>
      </c>
      <c r="P21" s="180" t="s">
        <v>5</v>
      </c>
      <c r="Q21" s="120" t="s">
        <v>5</v>
      </c>
      <c r="R21" s="219" t="s">
        <v>5</v>
      </c>
      <c r="S21" s="180" t="s">
        <v>5</v>
      </c>
      <c r="T21" s="203" t="s">
        <v>5</v>
      </c>
      <c r="U21" s="19" t="s">
        <v>6</v>
      </c>
      <c r="V21" s="371">
        <v>100</v>
      </c>
      <c r="W21" s="4" t="str">
        <f t="shared" si="0"/>
        <v>A</v>
      </c>
    </row>
    <row r="22" spans="1:23" ht="15" customHeight="1">
      <c r="A22" s="235" t="s">
        <v>92</v>
      </c>
      <c r="B22" s="266">
        <v>1</v>
      </c>
      <c r="C22" s="19" t="s">
        <v>8</v>
      </c>
      <c r="D22" s="303" t="s">
        <v>5</v>
      </c>
      <c r="E22" s="127">
        <f>0.02*100</f>
        <v>2</v>
      </c>
      <c r="F22" s="145">
        <v>26000</v>
      </c>
      <c r="G22" s="146">
        <v>100100</v>
      </c>
      <c r="H22" s="127">
        <f>0.025*100</f>
        <v>2.5</v>
      </c>
      <c r="I22" s="145">
        <f>G22</f>
        <v>100100</v>
      </c>
      <c r="J22" s="396" t="s">
        <v>5</v>
      </c>
      <c r="K22" s="175" t="s">
        <v>5</v>
      </c>
      <c r="L22" s="400" t="s">
        <v>5</v>
      </c>
      <c r="M22" s="396" t="s">
        <v>5</v>
      </c>
      <c r="N22" s="175" t="s">
        <v>5</v>
      </c>
      <c r="O22" s="400" t="s">
        <v>5</v>
      </c>
      <c r="P22" s="396" t="s">
        <v>5</v>
      </c>
      <c r="Q22" s="175" t="s">
        <v>5</v>
      </c>
      <c r="R22" s="400" t="s">
        <v>5</v>
      </c>
      <c r="S22" s="396" t="s">
        <v>5</v>
      </c>
      <c r="T22" s="188" t="s">
        <v>5</v>
      </c>
      <c r="U22" s="67" t="s">
        <v>5</v>
      </c>
      <c r="V22" s="372" t="s">
        <v>5</v>
      </c>
      <c r="W22" s="4" t="str">
        <f t="shared" si="0"/>
        <v/>
      </c>
    </row>
    <row r="23" spans="1:23" ht="15" customHeight="1">
      <c r="A23" s="235" t="s">
        <v>92</v>
      </c>
      <c r="B23" s="266">
        <v>2</v>
      </c>
      <c r="C23" s="19" t="s">
        <v>8</v>
      </c>
      <c r="D23" s="302" t="s">
        <v>5</v>
      </c>
      <c r="E23" s="127">
        <f>0.04*100</f>
        <v>4</v>
      </c>
      <c r="F23" s="145" t="s">
        <v>77</v>
      </c>
      <c r="G23" s="115">
        <v>50700</v>
      </c>
      <c r="H23" s="120" t="s">
        <v>5</v>
      </c>
      <c r="I23" s="219" t="s">
        <v>5</v>
      </c>
      <c r="J23" s="180" t="s">
        <v>5</v>
      </c>
      <c r="K23" s="120" t="s">
        <v>5</v>
      </c>
      <c r="L23" s="219" t="s">
        <v>5</v>
      </c>
      <c r="M23" s="180" t="s">
        <v>5</v>
      </c>
      <c r="N23" s="120" t="s">
        <v>5</v>
      </c>
      <c r="O23" s="219" t="s">
        <v>5</v>
      </c>
      <c r="P23" s="180" t="s">
        <v>5</v>
      </c>
      <c r="Q23" s="120" t="s">
        <v>5</v>
      </c>
      <c r="R23" s="219" t="s">
        <v>5</v>
      </c>
      <c r="S23" s="180" t="s">
        <v>5</v>
      </c>
      <c r="T23" s="203">
        <f>E23*G23/100</f>
        <v>2028</v>
      </c>
      <c r="U23" s="23" t="s">
        <v>5</v>
      </c>
      <c r="V23" s="374" t="s">
        <v>5</v>
      </c>
      <c r="W23" s="4" t="str">
        <f t="shared" si="0"/>
        <v/>
      </c>
    </row>
    <row r="24" spans="1:23" ht="15" customHeight="1">
      <c r="A24" s="235" t="s">
        <v>69</v>
      </c>
      <c r="B24" s="266">
        <v>1</v>
      </c>
      <c r="C24" s="19" t="s">
        <v>7</v>
      </c>
      <c r="D24" s="303" t="s">
        <v>5</v>
      </c>
      <c r="E24" s="127">
        <f>0.035*100</f>
        <v>3.5000000000000004</v>
      </c>
      <c r="F24" s="145">
        <v>0</v>
      </c>
      <c r="G24" s="146">
        <f>55176/12</f>
        <v>4598</v>
      </c>
      <c r="H24" s="127">
        <f>0.12*100</f>
        <v>12</v>
      </c>
      <c r="I24" s="145">
        <f>G24</f>
        <v>4598</v>
      </c>
      <c r="J24" s="146">
        <f>441120/12</f>
        <v>36760</v>
      </c>
      <c r="K24" s="175" t="s">
        <v>5</v>
      </c>
      <c r="L24" s="400" t="s">
        <v>5</v>
      </c>
      <c r="M24" s="396" t="s">
        <v>5</v>
      </c>
      <c r="N24" s="175" t="s">
        <v>5</v>
      </c>
      <c r="O24" s="400" t="s">
        <v>5</v>
      </c>
      <c r="P24" s="396" t="s">
        <v>5</v>
      </c>
      <c r="Q24" s="175" t="s">
        <v>5</v>
      </c>
      <c r="R24" s="400" t="s">
        <v>5</v>
      </c>
      <c r="S24" s="396" t="s">
        <v>5</v>
      </c>
      <c r="T24" s="192">
        <f>+E24/100*G24+H24/100*(J24-I24)</f>
        <v>4020.37</v>
      </c>
      <c r="U24" s="67" t="s">
        <v>5</v>
      </c>
      <c r="V24" s="372" t="s">
        <v>5</v>
      </c>
      <c r="W24" s="4" t="str">
        <f t="shared" si="0"/>
        <v/>
      </c>
    </row>
    <row r="25" spans="1:23" ht="15" customHeight="1">
      <c r="A25" s="235" t="s">
        <v>13</v>
      </c>
      <c r="B25" s="266">
        <v>1</v>
      </c>
      <c r="C25" s="19" t="s">
        <v>8</v>
      </c>
      <c r="D25" s="303" t="s">
        <v>5</v>
      </c>
      <c r="E25" s="127">
        <f>0.0949*100</f>
        <v>9.49</v>
      </c>
      <c r="F25" s="145">
        <v>0</v>
      </c>
      <c r="G25" s="146">
        <v>40765</v>
      </c>
      <c r="H25" s="127">
        <f>0.1049*100</f>
        <v>10.489999999999998</v>
      </c>
      <c r="I25" s="145">
        <f>G25</f>
        <v>40765</v>
      </c>
      <c r="J25" s="146">
        <v>88669</v>
      </c>
      <c r="K25" s="175" t="s">
        <v>5</v>
      </c>
      <c r="L25" s="400" t="s">
        <v>5</v>
      </c>
      <c r="M25" s="396" t="s">
        <v>5</v>
      </c>
      <c r="N25" s="175" t="s">
        <v>5</v>
      </c>
      <c r="O25" s="400" t="s">
        <v>5</v>
      </c>
      <c r="P25" s="396" t="s">
        <v>5</v>
      </c>
      <c r="Q25" s="175" t="s">
        <v>5</v>
      </c>
      <c r="R25" s="400" t="s">
        <v>5</v>
      </c>
      <c r="S25" s="396" t="s">
        <v>5</v>
      </c>
      <c r="T25" s="192">
        <f>((E25/100)*G25)+(H25/100)*(J25-I25)</f>
        <v>8893.7281000000003</v>
      </c>
      <c r="U25" s="279" t="s">
        <v>6</v>
      </c>
      <c r="V25" s="374">
        <v>100</v>
      </c>
      <c r="W25" s="4" t="str">
        <f t="shared" si="0"/>
        <v>A</v>
      </c>
    </row>
    <row r="26" spans="1:23" s="2" customFormat="1" ht="15" customHeight="1">
      <c r="A26" s="235" t="s">
        <v>14</v>
      </c>
      <c r="B26" s="266">
        <v>1</v>
      </c>
      <c r="C26" s="19" t="s">
        <v>7</v>
      </c>
      <c r="D26" s="306" t="s">
        <v>5</v>
      </c>
      <c r="E26" s="127">
        <f>0.07498*100+H26</f>
        <v>12.198</v>
      </c>
      <c r="F26" s="145">
        <v>0</v>
      </c>
      <c r="G26" s="146">
        <f>7440000/12</f>
        <v>620000</v>
      </c>
      <c r="H26" s="127">
        <f>0.041*100+K26</f>
        <v>4.7</v>
      </c>
      <c r="I26" s="145">
        <f>G26</f>
        <v>620000</v>
      </c>
      <c r="J26" s="146">
        <f>14520000/12</f>
        <v>1210000</v>
      </c>
      <c r="K26" s="127">
        <f>0.006*100</f>
        <v>0.6</v>
      </c>
      <c r="L26" s="145">
        <f>J26</f>
        <v>1210000</v>
      </c>
      <c r="M26" s="180" t="s">
        <v>5</v>
      </c>
      <c r="N26" s="175" t="s">
        <v>5</v>
      </c>
      <c r="O26" s="400" t="s">
        <v>5</v>
      </c>
      <c r="P26" s="396" t="s">
        <v>5</v>
      </c>
      <c r="Q26" s="175" t="s">
        <v>5</v>
      </c>
      <c r="R26" s="400" t="s">
        <v>5</v>
      </c>
      <c r="S26" s="396" t="s">
        <v>5</v>
      </c>
      <c r="T26" s="192" t="s">
        <v>5</v>
      </c>
      <c r="U26" s="19" t="s">
        <v>6</v>
      </c>
      <c r="V26" s="371">
        <v>100</v>
      </c>
      <c r="W26" s="4" t="str">
        <f t="shared" si="0"/>
        <v>A</v>
      </c>
    </row>
    <row r="27" spans="1:23" s="2" customFormat="1" ht="15" customHeight="1">
      <c r="A27" s="235" t="s">
        <v>15</v>
      </c>
      <c r="B27" s="266">
        <v>1</v>
      </c>
      <c r="C27" s="28" t="s">
        <v>7</v>
      </c>
      <c r="D27" s="303" t="s">
        <v>5</v>
      </c>
      <c r="E27" s="127">
        <f>(0.045*100)+H27</f>
        <v>7.593</v>
      </c>
      <c r="F27" s="145">
        <v>0</v>
      </c>
      <c r="G27" s="146">
        <f>(1944000/0.045)/12</f>
        <v>3600000</v>
      </c>
      <c r="H27" s="127">
        <f>(0.02643*100)+K27</f>
        <v>3.093</v>
      </c>
      <c r="I27" s="145">
        <f>G27</f>
        <v>3600000</v>
      </c>
      <c r="J27" s="146">
        <f>(20865956/0.02643)/12</f>
        <v>65789998.738806911</v>
      </c>
      <c r="K27" s="3">
        <f>0.0045*100</f>
        <v>0.44999999999999996</v>
      </c>
      <c r="L27" s="145">
        <f>J27</f>
        <v>65789998.738806911</v>
      </c>
      <c r="M27" s="396" t="s">
        <v>5</v>
      </c>
      <c r="N27" s="175" t="s">
        <v>5</v>
      </c>
      <c r="O27" s="400" t="s">
        <v>5</v>
      </c>
      <c r="P27" s="396" t="s">
        <v>5</v>
      </c>
      <c r="Q27" s="175" t="s">
        <v>5</v>
      </c>
      <c r="R27" s="400" t="s">
        <v>5</v>
      </c>
      <c r="S27" s="396" t="s">
        <v>5</v>
      </c>
      <c r="T27" s="188" t="s">
        <v>5</v>
      </c>
      <c r="U27" s="19" t="s">
        <v>6</v>
      </c>
      <c r="V27" s="371">
        <v>100</v>
      </c>
      <c r="W27" s="4" t="str">
        <f t="shared" si="0"/>
        <v>A</v>
      </c>
    </row>
    <row r="28" spans="1:23" s="40" customFormat="1">
      <c r="A28" s="513" t="s">
        <v>282</v>
      </c>
      <c r="B28" s="500">
        <v>1</v>
      </c>
      <c r="C28" s="30" t="s">
        <v>8</v>
      </c>
      <c r="D28" s="502" t="s">
        <v>5</v>
      </c>
      <c r="E28" s="503">
        <v>9</v>
      </c>
      <c r="F28" s="400">
        <v>0</v>
      </c>
      <c r="G28" s="396">
        <v>42117</v>
      </c>
      <c r="H28" s="501"/>
      <c r="I28" s="504"/>
      <c r="J28" s="505"/>
      <c r="K28" s="501"/>
      <c r="L28" s="504"/>
      <c r="M28" s="505"/>
      <c r="N28" s="506"/>
      <c r="O28" s="504"/>
      <c r="P28" s="505"/>
      <c r="Q28" s="506"/>
      <c r="R28" s="504"/>
      <c r="S28" s="505"/>
      <c r="T28" s="507">
        <f>(E28/100)*G28</f>
        <v>3790.5299999999997</v>
      </c>
      <c r="U28" s="62" t="s">
        <v>6</v>
      </c>
      <c r="V28" s="375">
        <v>100</v>
      </c>
      <c r="W28" s="30" t="str">
        <f t="shared" si="0"/>
        <v>A</v>
      </c>
    </row>
    <row r="29" spans="1:23" ht="15" customHeight="1">
      <c r="A29" s="235" t="s">
        <v>70</v>
      </c>
      <c r="B29" s="266">
        <v>1</v>
      </c>
      <c r="C29" s="19" t="s">
        <v>8</v>
      </c>
      <c r="D29" s="302" t="s">
        <v>5</v>
      </c>
      <c r="E29" s="127">
        <f>0.108*100</f>
        <v>10.8</v>
      </c>
      <c r="F29" s="145">
        <v>0</v>
      </c>
      <c r="G29" s="146">
        <v>94216.8</v>
      </c>
      <c r="H29" s="175" t="s">
        <v>5</v>
      </c>
      <c r="I29" s="400" t="s">
        <v>5</v>
      </c>
      <c r="J29" s="396" t="s">
        <v>5</v>
      </c>
      <c r="K29" s="175" t="s">
        <v>5</v>
      </c>
      <c r="L29" s="400" t="s">
        <v>5</v>
      </c>
      <c r="M29" s="396" t="s">
        <v>5</v>
      </c>
      <c r="N29" s="175" t="s">
        <v>5</v>
      </c>
      <c r="O29" s="400" t="s">
        <v>5</v>
      </c>
      <c r="P29" s="396" t="s">
        <v>5</v>
      </c>
      <c r="Q29" s="175" t="s">
        <v>5</v>
      </c>
      <c r="R29" s="400" t="s">
        <v>5</v>
      </c>
      <c r="S29" s="396" t="s">
        <v>5</v>
      </c>
      <c r="T29" s="192">
        <f>G29*E29/100</f>
        <v>10175.414400000001</v>
      </c>
      <c r="U29" s="28" t="s">
        <v>6</v>
      </c>
      <c r="V29" s="373">
        <v>100</v>
      </c>
      <c r="W29" s="4" t="str">
        <f t="shared" si="0"/>
        <v>A</v>
      </c>
    </row>
    <row r="30" spans="1:23" ht="15" customHeight="1">
      <c r="A30" s="235" t="s">
        <v>70</v>
      </c>
      <c r="B30" s="266">
        <v>2</v>
      </c>
      <c r="C30" s="19" t="s">
        <v>8</v>
      </c>
      <c r="D30" s="304" t="s">
        <v>5</v>
      </c>
      <c r="E30" s="127">
        <f>0.014*100</f>
        <v>1.4000000000000001</v>
      </c>
      <c r="F30" s="145">
        <f>0.25*18843.36</f>
        <v>4710.84</v>
      </c>
      <c r="G30" s="180" t="s">
        <v>5</v>
      </c>
      <c r="H30" s="120" t="s">
        <v>5</v>
      </c>
      <c r="I30" s="219" t="s">
        <v>5</v>
      </c>
      <c r="J30" s="180" t="s">
        <v>5</v>
      </c>
      <c r="K30" s="120" t="s">
        <v>5</v>
      </c>
      <c r="L30" s="219" t="s">
        <v>5</v>
      </c>
      <c r="M30" s="180" t="s">
        <v>5</v>
      </c>
      <c r="N30" s="120" t="s">
        <v>5</v>
      </c>
      <c r="O30" s="219" t="s">
        <v>5</v>
      </c>
      <c r="P30" s="180" t="s">
        <v>5</v>
      </c>
      <c r="Q30" s="120" t="s">
        <v>5</v>
      </c>
      <c r="R30" s="219" t="s">
        <v>5</v>
      </c>
      <c r="S30" s="180" t="s">
        <v>5</v>
      </c>
      <c r="T30" s="198" t="s">
        <v>5</v>
      </c>
      <c r="U30" s="7" t="s">
        <v>5</v>
      </c>
      <c r="V30" s="376" t="s">
        <v>5</v>
      </c>
      <c r="W30" s="4" t="str">
        <f t="shared" si="0"/>
        <v/>
      </c>
    </row>
    <row r="31" spans="1:23" s="2" customFormat="1" ht="15" customHeight="1">
      <c r="A31" s="235" t="s">
        <v>71</v>
      </c>
      <c r="B31" s="266">
        <v>1</v>
      </c>
      <c r="C31" s="19" t="s">
        <v>7</v>
      </c>
      <c r="D31" s="306" t="s">
        <v>5</v>
      </c>
      <c r="E31" s="127">
        <f>0.625+0.625</f>
        <v>1.25</v>
      </c>
      <c r="F31" s="114">
        <v>0</v>
      </c>
      <c r="G31" s="115">
        <f>3*52.59*(365/12)</f>
        <v>4798.8375000000005</v>
      </c>
      <c r="H31" s="127">
        <f>E31+0.4</f>
        <v>1.65</v>
      </c>
      <c r="I31" s="114">
        <f>3*52.59*(365/12)</f>
        <v>4798.8375000000005</v>
      </c>
      <c r="J31" s="115">
        <f>25*52.59*(365/12)</f>
        <v>39990.3125</v>
      </c>
      <c r="K31" s="120" t="s">
        <v>5</v>
      </c>
      <c r="L31" s="219" t="s">
        <v>5</v>
      </c>
      <c r="M31" s="180" t="s">
        <v>5</v>
      </c>
      <c r="N31" s="120" t="s">
        <v>5</v>
      </c>
      <c r="O31" s="219" t="s">
        <v>5</v>
      </c>
      <c r="P31" s="180" t="s">
        <v>5</v>
      </c>
      <c r="Q31" s="120" t="s">
        <v>5</v>
      </c>
      <c r="R31" s="219" t="s">
        <v>5</v>
      </c>
      <c r="S31" s="180" t="s">
        <v>5</v>
      </c>
      <c r="T31" s="196">
        <f>++E31/100*G31+H31/100*(J31-I31)</f>
        <v>640.64480624999999</v>
      </c>
      <c r="U31" s="335" t="s">
        <v>5</v>
      </c>
      <c r="V31" s="343" t="s">
        <v>5</v>
      </c>
      <c r="W31" s="4" t="str">
        <f t="shared" si="0"/>
        <v/>
      </c>
    </row>
    <row r="32" spans="1:23" ht="15" customHeight="1">
      <c r="A32" s="339" t="s">
        <v>60</v>
      </c>
      <c r="B32" s="266">
        <v>1</v>
      </c>
      <c r="C32" s="28" t="s">
        <v>6</v>
      </c>
      <c r="D32" s="304" t="s">
        <v>5</v>
      </c>
      <c r="E32" s="127">
        <f>(0.179+0.011+0.1215)*100</f>
        <v>31.15</v>
      </c>
      <c r="F32" s="319">
        <v>0</v>
      </c>
      <c r="G32" s="320">
        <v>31589</v>
      </c>
      <c r="H32" s="163" t="s">
        <v>5</v>
      </c>
      <c r="I32" s="395" t="s">
        <v>5</v>
      </c>
      <c r="J32" s="472" t="s">
        <v>5</v>
      </c>
      <c r="K32" s="163" t="s">
        <v>5</v>
      </c>
      <c r="L32" s="395" t="s">
        <v>5</v>
      </c>
      <c r="M32" s="472" t="s">
        <v>5</v>
      </c>
      <c r="N32" s="163" t="s">
        <v>5</v>
      </c>
      <c r="O32" s="395" t="s">
        <v>5</v>
      </c>
      <c r="P32" s="472" t="s">
        <v>5</v>
      </c>
      <c r="Q32" s="163" t="s">
        <v>5</v>
      </c>
      <c r="R32" s="395" t="s">
        <v>5</v>
      </c>
      <c r="S32" s="472" t="s">
        <v>5</v>
      </c>
      <c r="T32" s="196">
        <f>(G32-F32)*E32/100</f>
        <v>9839.9735000000001</v>
      </c>
      <c r="U32" s="28" t="s">
        <v>6</v>
      </c>
      <c r="V32" s="373">
        <v>100</v>
      </c>
      <c r="W32" s="4" t="str">
        <f t="shared" si="0"/>
        <v>A</v>
      </c>
    </row>
    <row r="33" spans="1:23" ht="15" customHeight="1">
      <c r="A33" s="244" t="s">
        <v>42</v>
      </c>
      <c r="B33" s="382">
        <v>0</v>
      </c>
      <c r="C33" s="111" t="s">
        <v>250</v>
      </c>
      <c r="D33" s="310" t="s">
        <v>5</v>
      </c>
      <c r="E33" s="366" t="s">
        <v>5</v>
      </c>
      <c r="F33" s="398" t="s">
        <v>5</v>
      </c>
      <c r="G33" s="399" t="s">
        <v>5</v>
      </c>
      <c r="H33" s="163" t="s">
        <v>5</v>
      </c>
      <c r="I33" s="395" t="s">
        <v>5</v>
      </c>
      <c r="J33" s="472" t="s">
        <v>5</v>
      </c>
      <c r="K33" s="163" t="s">
        <v>5</v>
      </c>
      <c r="L33" s="395" t="s">
        <v>5</v>
      </c>
      <c r="M33" s="472" t="s">
        <v>5</v>
      </c>
      <c r="N33" s="163" t="s">
        <v>5</v>
      </c>
      <c r="O33" s="395" t="s">
        <v>5</v>
      </c>
      <c r="P33" s="472" t="s">
        <v>5</v>
      </c>
      <c r="Q33" s="163" t="s">
        <v>5</v>
      </c>
      <c r="R33" s="395" t="s">
        <v>5</v>
      </c>
      <c r="S33" s="472" t="s">
        <v>5</v>
      </c>
      <c r="T33" s="197" t="s">
        <v>5</v>
      </c>
      <c r="U33" s="111" t="s">
        <v>5</v>
      </c>
      <c r="V33" s="377" t="s">
        <v>5</v>
      </c>
      <c r="W33" s="4" t="str">
        <f t="shared" si="0"/>
        <v/>
      </c>
    </row>
    <row r="34" spans="1:23" ht="15" customHeight="1">
      <c r="A34" s="235" t="s">
        <v>16</v>
      </c>
      <c r="B34" s="266">
        <v>1</v>
      </c>
      <c r="C34" s="19" t="s">
        <v>8</v>
      </c>
      <c r="D34" s="302" t="s">
        <v>5</v>
      </c>
      <c r="E34" s="127">
        <f>0.078*100</f>
        <v>7.8</v>
      </c>
      <c r="F34" s="145" t="s">
        <v>65</v>
      </c>
      <c r="G34" s="146" t="s">
        <v>5</v>
      </c>
      <c r="H34" s="175" t="s">
        <v>5</v>
      </c>
      <c r="I34" s="400" t="s">
        <v>5</v>
      </c>
      <c r="J34" s="396" t="s">
        <v>5</v>
      </c>
      <c r="K34" s="175" t="s">
        <v>5</v>
      </c>
      <c r="L34" s="400" t="s">
        <v>5</v>
      </c>
      <c r="M34" s="396" t="s">
        <v>5</v>
      </c>
      <c r="N34" s="175" t="s">
        <v>5</v>
      </c>
      <c r="O34" s="400" t="s">
        <v>5</v>
      </c>
      <c r="P34" s="396" t="s">
        <v>5</v>
      </c>
      <c r="Q34" s="175" t="s">
        <v>5</v>
      </c>
      <c r="R34" s="400" t="s">
        <v>5</v>
      </c>
      <c r="S34" s="396" t="s">
        <v>5</v>
      </c>
      <c r="T34" s="202" t="s">
        <v>5</v>
      </c>
      <c r="U34" s="54" t="s">
        <v>5</v>
      </c>
      <c r="V34" s="374" t="s">
        <v>5</v>
      </c>
      <c r="W34" s="4" t="str">
        <f t="shared" si="0"/>
        <v/>
      </c>
    </row>
    <row r="35" spans="1:23" ht="15" customHeight="1">
      <c r="A35" s="235" t="s">
        <v>72</v>
      </c>
      <c r="B35" s="266">
        <v>1</v>
      </c>
      <c r="C35" s="19" t="s">
        <v>8</v>
      </c>
      <c r="D35" s="303" t="s">
        <v>5</v>
      </c>
      <c r="E35" s="127">
        <f>(0.061098+0.015)*100</f>
        <v>7.6097999999999999</v>
      </c>
      <c r="F35" s="114">
        <v>0</v>
      </c>
      <c r="G35" s="115">
        <v>85290</v>
      </c>
      <c r="H35" s="127">
        <f>0.0245*100</f>
        <v>2.4500000000000002</v>
      </c>
      <c r="I35" s="114">
        <v>85290</v>
      </c>
      <c r="J35" s="180" t="s">
        <v>5</v>
      </c>
      <c r="K35" s="120" t="s">
        <v>5</v>
      </c>
      <c r="L35" s="219" t="s">
        <v>5</v>
      </c>
      <c r="M35" s="180" t="s">
        <v>5</v>
      </c>
      <c r="N35" s="120" t="s">
        <v>5</v>
      </c>
      <c r="O35" s="219" t="s">
        <v>5</v>
      </c>
      <c r="P35" s="180" t="s">
        <v>5</v>
      </c>
      <c r="Q35" s="120" t="s">
        <v>5</v>
      </c>
      <c r="R35" s="219" t="s">
        <v>5</v>
      </c>
      <c r="S35" s="180" t="s">
        <v>5</v>
      </c>
      <c r="T35" s="199" t="s">
        <v>5</v>
      </c>
      <c r="U35" s="19" t="s">
        <v>6</v>
      </c>
      <c r="V35" s="371">
        <v>100</v>
      </c>
      <c r="W35" s="4" t="str">
        <f t="shared" si="0"/>
        <v>A</v>
      </c>
    </row>
    <row r="36" spans="1:23" ht="15" customHeight="1">
      <c r="A36" s="235" t="s">
        <v>72</v>
      </c>
      <c r="B36" s="266">
        <v>2</v>
      </c>
      <c r="C36" s="19" t="s">
        <v>8</v>
      </c>
      <c r="D36" s="303" t="s">
        <v>5</v>
      </c>
      <c r="E36" s="127">
        <f>0.09*100</f>
        <v>9</v>
      </c>
      <c r="F36" s="316" t="s">
        <v>5</v>
      </c>
      <c r="G36" s="317" t="s">
        <v>5</v>
      </c>
      <c r="H36" s="120" t="s">
        <v>5</v>
      </c>
      <c r="I36" s="219" t="s">
        <v>5</v>
      </c>
      <c r="J36" s="180" t="s">
        <v>5</v>
      </c>
      <c r="K36" s="120" t="s">
        <v>5</v>
      </c>
      <c r="L36" s="219" t="s">
        <v>5</v>
      </c>
      <c r="M36" s="180" t="s">
        <v>5</v>
      </c>
      <c r="N36" s="120" t="s">
        <v>5</v>
      </c>
      <c r="O36" s="219" t="s">
        <v>5</v>
      </c>
      <c r="P36" s="180" t="s">
        <v>5</v>
      </c>
      <c r="Q36" s="120" t="s">
        <v>5</v>
      </c>
      <c r="R36" s="219" t="s">
        <v>5</v>
      </c>
      <c r="S36" s="180" t="s">
        <v>5</v>
      </c>
      <c r="T36" s="199" t="s">
        <v>5</v>
      </c>
      <c r="U36" s="19" t="s">
        <v>6</v>
      </c>
      <c r="V36" s="371">
        <v>100</v>
      </c>
      <c r="W36" s="4" t="str">
        <f t="shared" si="0"/>
        <v>A</v>
      </c>
    </row>
    <row r="37" spans="1:23" ht="15" customHeight="1">
      <c r="A37" s="235" t="s">
        <v>17</v>
      </c>
      <c r="B37" s="266">
        <v>1</v>
      </c>
      <c r="C37" s="19" t="s">
        <v>7</v>
      </c>
      <c r="D37" s="302" t="s">
        <v>5</v>
      </c>
      <c r="E37" s="127">
        <f>0.11*100</f>
        <v>11</v>
      </c>
      <c r="F37" s="145" t="s">
        <v>5</v>
      </c>
      <c r="G37" s="146" t="s">
        <v>5</v>
      </c>
      <c r="H37" s="175" t="s">
        <v>5</v>
      </c>
      <c r="I37" s="400" t="s">
        <v>5</v>
      </c>
      <c r="J37" s="396" t="s">
        <v>5</v>
      </c>
      <c r="K37" s="175" t="s">
        <v>5</v>
      </c>
      <c r="L37" s="400" t="s">
        <v>5</v>
      </c>
      <c r="M37" s="396" t="s">
        <v>5</v>
      </c>
      <c r="N37" s="175" t="s">
        <v>5</v>
      </c>
      <c r="O37" s="400" t="s">
        <v>5</v>
      </c>
      <c r="P37" s="396" t="s">
        <v>5</v>
      </c>
      <c r="Q37" s="175" t="s">
        <v>5</v>
      </c>
      <c r="R37" s="400" t="s">
        <v>5</v>
      </c>
      <c r="S37" s="396" t="s">
        <v>5</v>
      </c>
      <c r="T37" s="202" t="s">
        <v>5</v>
      </c>
      <c r="U37" s="19" t="s">
        <v>6</v>
      </c>
      <c r="V37" s="371">
        <v>100</v>
      </c>
      <c r="W37" s="4" t="str">
        <f t="shared" si="0"/>
        <v>A</v>
      </c>
    </row>
    <row r="38" spans="1:23" ht="15" customHeight="1">
      <c r="A38" s="235" t="s">
        <v>51</v>
      </c>
      <c r="B38" s="266">
        <v>1</v>
      </c>
      <c r="C38" s="19" t="s">
        <v>7</v>
      </c>
      <c r="D38" s="304" t="s">
        <v>5</v>
      </c>
      <c r="E38" s="127">
        <f>(0.014+0.04+0.08)*100</f>
        <v>13.4</v>
      </c>
      <c r="F38" s="145" t="str">
        <f>"["&amp;ROUND(268.87,1)&amp;"]"</f>
        <v>[268.9]</v>
      </c>
      <c r="G38" s="146">
        <f>11623.2822146983/12</f>
        <v>968.60685122485836</v>
      </c>
      <c r="H38" s="498">
        <f>(0.04+0.08)*100</f>
        <v>12</v>
      </c>
      <c r="I38" s="400">
        <f>G38</f>
        <v>968.60685122485836</v>
      </c>
      <c r="J38" s="396">
        <f>22419.0400318662/12</f>
        <v>1868.25333598885</v>
      </c>
      <c r="K38" s="498">
        <f>0.08*100</f>
        <v>8</v>
      </c>
      <c r="L38" s="400">
        <f>J38</f>
        <v>1868.25333598885</v>
      </c>
      <c r="M38" s="396">
        <f>30995.4192391954/12</f>
        <v>2582.9516032662832</v>
      </c>
      <c r="N38" s="175" t="s">
        <v>5</v>
      </c>
      <c r="O38" s="400" t="s">
        <v>5</v>
      </c>
      <c r="P38" s="396" t="s">
        <v>5</v>
      </c>
      <c r="Q38" s="175" t="s">
        <v>5</v>
      </c>
      <c r="R38" s="400" t="s">
        <v>5</v>
      </c>
      <c r="S38" s="396" t="s">
        <v>5</v>
      </c>
      <c r="T38" s="202"/>
      <c r="U38" s="28" t="s">
        <v>6</v>
      </c>
      <c r="V38" s="373">
        <v>100</v>
      </c>
      <c r="W38" s="4" t="str">
        <f t="shared" si="0"/>
        <v>A</v>
      </c>
    </row>
    <row r="39" spans="1:23" ht="15" customHeight="1">
      <c r="A39" s="235" t="s">
        <v>59</v>
      </c>
      <c r="B39" s="266">
        <v>1</v>
      </c>
      <c r="C39" s="19" t="s">
        <v>7</v>
      </c>
      <c r="D39" s="303" t="s">
        <v>5</v>
      </c>
      <c r="E39" s="127">
        <f>0.221*100</f>
        <v>22.1</v>
      </c>
      <c r="F39" s="400" t="s">
        <v>5</v>
      </c>
      <c r="G39" s="396" t="s">
        <v>5</v>
      </c>
      <c r="H39" s="175" t="s">
        <v>5</v>
      </c>
      <c r="I39" s="400" t="s">
        <v>5</v>
      </c>
      <c r="J39" s="396" t="s">
        <v>5</v>
      </c>
      <c r="K39" s="175" t="s">
        <v>5</v>
      </c>
      <c r="L39" s="400" t="s">
        <v>5</v>
      </c>
      <c r="M39" s="396" t="s">
        <v>5</v>
      </c>
      <c r="N39" s="175" t="s">
        <v>5</v>
      </c>
      <c r="O39" s="400" t="s">
        <v>5</v>
      </c>
      <c r="P39" s="396" t="s">
        <v>5</v>
      </c>
      <c r="Q39" s="175" t="s">
        <v>5</v>
      </c>
      <c r="R39" s="400" t="s">
        <v>5</v>
      </c>
      <c r="S39" s="396" t="s">
        <v>5</v>
      </c>
      <c r="T39" s="199" t="s">
        <v>5</v>
      </c>
      <c r="U39" s="28" t="s">
        <v>6</v>
      </c>
      <c r="V39" s="373">
        <v>100</v>
      </c>
      <c r="W39" s="4" t="str">
        <f t="shared" si="0"/>
        <v>A</v>
      </c>
    </row>
    <row r="40" spans="1:23" ht="15" customHeight="1">
      <c r="A40" s="235" t="s">
        <v>213</v>
      </c>
      <c r="B40" s="266">
        <v>1</v>
      </c>
      <c r="C40" s="19" t="s">
        <v>8</v>
      </c>
      <c r="D40" s="302" t="s">
        <v>5</v>
      </c>
      <c r="E40" s="127">
        <f>(0.047+0.0155+0.001)*100</f>
        <v>6.35</v>
      </c>
      <c r="F40" s="145" t="s">
        <v>45</v>
      </c>
      <c r="G40" s="146">
        <v>36889.199999999997</v>
      </c>
      <c r="H40" s="175" t="s">
        <v>5</v>
      </c>
      <c r="I40" s="400" t="s">
        <v>5</v>
      </c>
      <c r="J40" s="396" t="s">
        <v>5</v>
      </c>
      <c r="K40" s="175" t="s">
        <v>5</v>
      </c>
      <c r="L40" s="400" t="s">
        <v>5</v>
      </c>
      <c r="M40" s="396" t="s">
        <v>5</v>
      </c>
      <c r="N40" s="175" t="s">
        <v>5</v>
      </c>
      <c r="O40" s="400" t="s">
        <v>5</v>
      </c>
      <c r="P40" s="396" t="s">
        <v>5</v>
      </c>
      <c r="Q40" s="175" t="s">
        <v>5</v>
      </c>
      <c r="R40" s="400" t="s">
        <v>5</v>
      </c>
      <c r="S40" s="396" t="s">
        <v>5</v>
      </c>
      <c r="T40" s="196">
        <f>G40*(E40/100)</f>
        <v>2342.4641999999999</v>
      </c>
      <c r="U40" s="19" t="s">
        <v>6</v>
      </c>
      <c r="V40" s="371">
        <v>100</v>
      </c>
      <c r="W40" s="4" t="str">
        <f t="shared" si="0"/>
        <v>A</v>
      </c>
    </row>
    <row r="41" spans="1:23" ht="15" customHeight="1">
      <c r="A41" s="339" t="s">
        <v>73</v>
      </c>
      <c r="B41" s="266">
        <v>1</v>
      </c>
      <c r="C41" s="19" t="s">
        <v>8</v>
      </c>
      <c r="D41" s="303" t="s">
        <v>5</v>
      </c>
      <c r="E41" s="127">
        <f>0.07*100</f>
        <v>7.0000000000000009</v>
      </c>
      <c r="F41" s="145" t="str">
        <f>"["&amp;ROUND(0.423*41000,0)&amp;"]"</f>
        <v>[17343]</v>
      </c>
      <c r="G41" s="146">
        <f>8.07*48000</f>
        <v>387360</v>
      </c>
      <c r="H41" s="175" t="s">
        <v>5</v>
      </c>
      <c r="I41" s="400" t="s">
        <v>5</v>
      </c>
      <c r="J41" s="396" t="s">
        <v>5</v>
      </c>
      <c r="K41" s="175" t="s">
        <v>5</v>
      </c>
      <c r="L41" s="400" t="s">
        <v>5</v>
      </c>
      <c r="M41" s="396" t="s">
        <v>5</v>
      </c>
      <c r="N41" s="175" t="s">
        <v>5</v>
      </c>
      <c r="O41" s="400" t="s">
        <v>5</v>
      </c>
      <c r="P41" s="396" t="s">
        <v>5</v>
      </c>
      <c r="Q41" s="175" t="s">
        <v>5</v>
      </c>
      <c r="R41" s="400" t="s">
        <v>5</v>
      </c>
      <c r="S41" s="396" t="s">
        <v>5</v>
      </c>
      <c r="T41" s="196">
        <f>ROUND(E41*G41/100,-2)</f>
        <v>27100</v>
      </c>
      <c r="U41" s="19" t="s">
        <v>28</v>
      </c>
      <c r="V41" s="371">
        <v>100</v>
      </c>
      <c r="W41" s="4" t="str">
        <f t="shared" si="0"/>
        <v>C</v>
      </c>
    </row>
    <row r="42" spans="1:23" ht="15" customHeight="1">
      <c r="A42" s="235" t="s">
        <v>74</v>
      </c>
      <c r="B42" s="266">
        <v>1</v>
      </c>
      <c r="C42" s="19" t="s">
        <v>8</v>
      </c>
      <c r="D42" s="303" t="s">
        <v>5</v>
      </c>
      <c r="E42" s="127">
        <f>(0.01*100)+H42</f>
        <v>6.0500000000000007</v>
      </c>
      <c r="F42" s="145">
        <v>0</v>
      </c>
      <c r="G42" s="146">
        <v>126000</v>
      </c>
      <c r="H42" s="127">
        <f>0.0505*100</f>
        <v>5.0500000000000007</v>
      </c>
      <c r="I42" s="145">
        <f>G42</f>
        <v>126000</v>
      </c>
      <c r="J42" s="396" t="s">
        <v>5</v>
      </c>
      <c r="K42" s="175" t="s">
        <v>5</v>
      </c>
      <c r="L42" s="400" t="s">
        <v>5</v>
      </c>
      <c r="M42" s="396" t="s">
        <v>5</v>
      </c>
      <c r="N42" s="175" t="s">
        <v>5</v>
      </c>
      <c r="O42" s="400" t="s">
        <v>5</v>
      </c>
      <c r="P42" s="396" t="s">
        <v>5</v>
      </c>
      <c r="Q42" s="175" t="s">
        <v>5</v>
      </c>
      <c r="R42" s="400" t="s">
        <v>5</v>
      </c>
      <c r="S42" s="396" t="s">
        <v>5</v>
      </c>
      <c r="T42" s="199" t="s">
        <v>5</v>
      </c>
      <c r="U42" s="19" t="s">
        <v>6</v>
      </c>
      <c r="V42" s="371">
        <v>100</v>
      </c>
      <c r="W42" s="4" t="str">
        <f t="shared" si="0"/>
        <v>A</v>
      </c>
    </row>
    <row r="43" spans="1:23" s="2" customFormat="1" ht="15" customHeight="1">
      <c r="A43" s="339" t="s">
        <v>43</v>
      </c>
      <c r="B43" s="266">
        <v>1</v>
      </c>
      <c r="C43" s="19" t="s">
        <v>8</v>
      </c>
      <c r="D43" s="302" t="s">
        <v>5</v>
      </c>
      <c r="E43" s="127">
        <v>15</v>
      </c>
      <c r="F43" s="397" t="str">
        <f>"/"&amp;ROUND(7300.8,0)&amp;"/"</f>
        <v>/7301/</v>
      </c>
      <c r="G43" s="146">
        <v>48637.8</v>
      </c>
      <c r="H43" s="175" t="s">
        <v>5</v>
      </c>
      <c r="I43" s="400" t="s">
        <v>5</v>
      </c>
      <c r="J43" s="396" t="s">
        <v>5</v>
      </c>
      <c r="K43" s="175" t="s">
        <v>5</v>
      </c>
      <c r="L43" s="400" t="s">
        <v>5</v>
      </c>
      <c r="M43" s="396" t="s">
        <v>5</v>
      </c>
      <c r="N43" s="175" t="s">
        <v>5</v>
      </c>
      <c r="O43" s="400" t="s">
        <v>5</v>
      </c>
      <c r="P43" s="396" t="s">
        <v>5</v>
      </c>
      <c r="Q43" s="175" t="s">
        <v>5</v>
      </c>
      <c r="R43" s="400" t="s">
        <v>5</v>
      </c>
      <c r="S43" s="396" t="s">
        <v>5</v>
      </c>
      <c r="T43" s="196">
        <f>G43*E43/100</f>
        <v>7295.67</v>
      </c>
      <c r="U43" s="19" t="s">
        <v>6</v>
      </c>
      <c r="V43" s="371">
        <v>100</v>
      </c>
      <c r="W43" s="4" t="str">
        <f t="shared" si="0"/>
        <v>A</v>
      </c>
    </row>
    <row r="44" spans="1:23" ht="15" customHeight="1">
      <c r="A44" s="235" t="s">
        <v>47</v>
      </c>
      <c r="B44" s="266">
        <v>1</v>
      </c>
      <c r="C44" s="19" t="s">
        <v>19</v>
      </c>
      <c r="D44" s="303" t="s">
        <v>5</v>
      </c>
      <c r="E44" s="127">
        <f>0.11*100</f>
        <v>11</v>
      </c>
      <c r="F44" s="114">
        <f>5460/52</f>
        <v>105</v>
      </c>
      <c r="G44" s="115">
        <f>40040/52</f>
        <v>770</v>
      </c>
      <c r="H44" s="127">
        <f>0.01*100</f>
        <v>1</v>
      </c>
      <c r="I44" s="145">
        <f>G44</f>
        <v>770</v>
      </c>
      <c r="J44" s="393" t="s">
        <v>5</v>
      </c>
      <c r="K44" s="120" t="s">
        <v>5</v>
      </c>
      <c r="L44" s="219" t="s">
        <v>5</v>
      </c>
      <c r="M44" s="180" t="s">
        <v>5</v>
      </c>
      <c r="N44" s="120" t="s">
        <v>5</v>
      </c>
      <c r="O44" s="219" t="s">
        <v>5</v>
      </c>
      <c r="P44" s="180" t="s">
        <v>5</v>
      </c>
      <c r="Q44" s="120" t="s">
        <v>5</v>
      </c>
      <c r="R44" s="219" t="s">
        <v>5</v>
      </c>
      <c r="S44" s="180" t="s">
        <v>5</v>
      </c>
      <c r="T44" s="199" t="s">
        <v>5</v>
      </c>
      <c r="U44" s="239" t="s">
        <v>5</v>
      </c>
      <c r="V44" s="372" t="s">
        <v>5</v>
      </c>
      <c r="W44" s="4" t="str">
        <f t="shared" si="0"/>
        <v/>
      </c>
    </row>
    <row r="45" spans="1:23" ht="15" customHeight="1">
      <c r="A45" s="246" t="s">
        <v>20</v>
      </c>
      <c r="B45" s="383">
        <v>1</v>
      </c>
      <c r="C45" s="292" t="s">
        <v>8</v>
      </c>
      <c r="D45" s="311" t="s">
        <v>5</v>
      </c>
      <c r="E45" s="293">
        <f>(0.062*100)+H45</f>
        <v>7.65</v>
      </c>
      <c r="F45" s="147">
        <v>0</v>
      </c>
      <c r="G45" s="148">
        <v>102000</v>
      </c>
      <c r="H45" s="293">
        <f>0.0145*100</f>
        <v>1.4500000000000002</v>
      </c>
      <c r="I45" s="147">
        <f>G45</f>
        <v>102000</v>
      </c>
      <c r="J45" s="158" t="s">
        <v>5</v>
      </c>
      <c r="K45" s="480" t="s">
        <v>5</v>
      </c>
      <c r="L45" s="481" t="s">
        <v>5</v>
      </c>
      <c r="M45" s="158" t="s">
        <v>5</v>
      </c>
      <c r="N45" s="480" t="s">
        <v>5</v>
      </c>
      <c r="O45" s="481" t="s">
        <v>5</v>
      </c>
      <c r="P45" s="158" t="s">
        <v>5</v>
      </c>
      <c r="Q45" s="480" t="s">
        <v>5</v>
      </c>
      <c r="R45" s="481" t="s">
        <v>5</v>
      </c>
      <c r="S45" s="158" t="s">
        <v>5</v>
      </c>
      <c r="T45" s="403" t="s">
        <v>5</v>
      </c>
      <c r="U45" s="249" t="s">
        <v>5</v>
      </c>
      <c r="V45" s="380" t="s">
        <v>5</v>
      </c>
      <c r="W45" s="4" t="str">
        <f t="shared" si="0"/>
        <v/>
      </c>
    </row>
    <row r="46" spans="1:23" ht="15" customHeight="1">
      <c r="A46" s="176"/>
      <c r="B46" s="169"/>
      <c r="C46" s="19"/>
      <c r="D46" s="132"/>
      <c r="E46" s="127"/>
      <c r="F46" s="152"/>
      <c r="G46" s="151"/>
      <c r="H46" s="151"/>
      <c r="I46" s="151"/>
      <c r="J46" s="151"/>
      <c r="K46" s="151"/>
      <c r="L46" s="151"/>
      <c r="M46" s="151"/>
      <c r="N46" s="151"/>
      <c r="O46" s="151"/>
      <c r="P46" s="151"/>
      <c r="Q46" s="151"/>
      <c r="R46" s="151"/>
      <c r="S46" s="151"/>
      <c r="T46" s="157"/>
      <c r="U46" s="165"/>
      <c r="V46" s="167"/>
    </row>
    <row r="47" spans="1:23" s="75" customFormat="1" ht="12.75" customHeight="1">
      <c r="A47" s="535" t="s">
        <v>94</v>
      </c>
      <c r="B47" s="535"/>
      <c r="C47" s="535"/>
      <c r="D47" s="548"/>
      <c r="E47" s="548"/>
      <c r="F47" s="548"/>
      <c r="G47" s="548"/>
      <c r="H47" s="548"/>
      <c r="I47" s="548"/>
      <c r="J47" s="548"/>
      <c r="K47" s="548"/>
      <c r="L47" s="548"/>
      <c r="M47" s="548"/>
      <c r="N47" s="548"/>
      <c r="O47" s="548"/>
      <c r="P47" s="548"/>
      <c r="Q47" s="548"/>
      <c r="R47" s="548"/>
      <c r="S47" s="548"/>
      <c r="T47" s="548"/>
      <c r="U47" s="549"/>
      <c r="V47" s="549"/>
    </row>
    <row r="48" spans="1:23" s="76" customFormat="1" ht="12.75" customHeight="1">
      <c r="A48" s="539" t="s">
        <v>95</v>
      </c>
      <c r="B48" s="539"/>
      <c r="C48" s="539"/>
      <c r="D48" s="550"/>
      <c r="E48" s="550"/>
      <c r="F48" s="550"/>
      <c r="G48" s="550"/>
      <c r="H48" s="550"/>
      <c r="I48" s="550"/>
      <c r="J48" s="550"/>
      <c r="K48" s="550"/>
      <c r="L48" s="550"/>
      <c r="M48" s="550"/>
      <c r="N48" s="550"/>
      <c r="O48" s="550"/>
      <c r="P48" s="550"/>
      <c r="Q48" s="550"/>
      <c r="R48" s="550"/>
      <c r="S48" s="550"/>
      <c r="T48" s="550"/>
      <c r="U48" s="551"/>
      <c r="V48" s="551"/>
    </row>
    <row r="49" spans="1:33" s="76" customFormat="1" ht="12.75" customHeight="1">
      <c r="A49" s="539" t="s">
        <v>107</v>
      </c>
      <c r="B49" s="539"/>
      <c r="C49" s="539"/>
      <c r="D49" s="550"/>
      <c r="E49" s="550"/>
      <c r="F49" s="550"/>
      <c r="G49" s="550"/>
      <c r="H49" s="550"/>
      <c r="I49" s="550"/>
      <c r="J49" s="550"/>
      <c r="K49" s="550"/>
      <c r="L49" s="550"/>
      <c r="M49" s="550"/>
      <c r="N49" s="550"/>
      <c r="O49" s="550"/>
      <c r="P49" s="550"/>
      <c r="Q49" s="550"/>
      <c r="R49" s="550"/>
      <c r="S49" s="550"/>
      <c r="T49" s="550"/>
      <c r="U49" s="551"/>
      <c r="V49" s="551"/>
    </row>
    <row r="50" spans="1:33" s="76" customFormat="1" ht="12.75" customHeight="1" thickBot="1">
      <c r="A50" s="539" t="s">
        <v>108</v>
      </c>
      <c r="B50" s="552"/>
      <c r="C50" s="539"/>
      <c r="D50" s="539"/>
      <c r="E50" s="539"/>
      <c r="F50" s="539"/>
      <c r="G50" s="539"/>
      <c r="H50" s="539"/>
      <c r="I50" s="539"/>
      <c r="J50" s="539"/>
      <c r="K50" s="539"/>
      <c r="L50" s="539"/>
      <c r="M50" s="539"/>
      <c r="N50" s="539"/>
      <c r="O50" s="539"/>
      <c r="P50" s="539"/>
      <c r="Q50" s="539"/>
      <c r="R50" s="539"/>
      <c r="S50" s="539"/>
      <c r="T50" s="539"/>
      <c r="U50" s="539"/>
      <c r="V50" s="539"/>
    </row>
    <row r="51" spans="1:33" s="76" customFormat="1" ht="12.75" customHeight="1">
      <c r="A51" s="516" t="s">
        <v>1</v>
      </c>
      <c r="B51" s="84" t="s">
        <v>122</v>
      </c>
      <c r="C51" s="509" t="s">
        <v>123</v>
      </c>
      <c r="D51" s="103"/>
      <c r="E51" s="103"/>
      <c r="F51" s="104"/>
      <c r="U51" s="99"/>
      <c r="V51" s="99"/>
    </row>
    <row r="52" spans="1:33" s="76" customFormat="1" ht="12.75" customHeight="1">
      <c r="A52" s="517"/>
      <c r="B52" s="85" t="s">
        <v>124</v>
      </c>
      <c r="C52" s="510" t="s">
        <v>126</v>
      </c>
      <c r="D52" s="105"/>
      <c r="E52" s="105"/>
      <c r="F52" s="106"/>
      <c r="U52" s="83"/>
      <c r="V52" s="83"/>
    </row>
    <row r="53" spans="1:33" s="76" customFormat="1" ht="12.75" customHeight="1">
      <c r="A53" s="517"/>
      <c r="B53" s="86" t="s">
        <v>125</v>
      </c>
      <c r="C53" s="511" t="s">
        <v>136</v>
      </c>
      <c r="D53" s="107"/>
      <c r="E53" s="107"/>
      <c r="F53" s="108"/>
      <c r="U53" s="83"/>
      <c r="V53" s="83"/>
    </row>
    <row r="54" spans="1:33" s="76" customFormat="1" ht="12.75" customHeight="1">
      <c r="A54" s="517"/>
      <c r="C54" s="78"/>
      <c r="D54" s="93"/>
      <c r="E54" s="93"/>
      <c r="F54" s="93"/>
      <c r="U54" s="83"/>
      <c r="V54" s="83"/>
    </row>
    <row r="55" spans="1:33" s="76" customFormat="1" ht="12.75" customHeight="1">
      <c r="A55" s="518" t="s">
        <v>127</v>
      </c>
      <c r="B55" s="84" t="s">
        <v>128</v>
      </c>
      <c r="C55" s="509" t="s">
        <v>129</v>
      </c>
      <c r="D55" s="103"/>
      <c r="E55" s="103"/>
      <c r="F55" s="104"/>
      <c r="U55" s="99"/>
      <c r="V55" s="99"/>
    </row>
    <row r="56" spans="1:33" s="76" customFormat="1" ht="12.75" customHeight="1">
      <c r="A56" s="517"/>
      <c r="B56" s="85" t="s">
        <v>130</v>
      </c>
      <c r="C56" s="510" t="s">
        <v>133</v>
      </c>
      <c r="D56" s="105"/>
      <c r="E56" s="105"/>
      <c r="F56" s="106"/>
      <c r="U56" s="83"/>
      <c r="V56" s="83"/>
    </row>
    <row r="57" spans="1:33" s="76" customFormat="1" ht="12.75" customHeight="1">
      <c r="A57" s="517"/>
      <c r="B57" s="85" t="s">
        <v>131</v>
      </c>
      <c r="C57" s="510" t="s">
        <v>132</v>
      </c>
      <c r="D57" s="105"/>
      <c r="E57" s="105"/>
      <c r="F57" s="106"/>
      <c r="U57" s="83"/>
      <c r="V57" s="83"/>
    </row>
    <row r="58" spans="1:33" s="76" customFormat="1" ht="12.75" customHeight="1">
      <c r="A58" s="517"/>
      <c r="B58" s="85" t="s">
        <v>134</v>
      </c>
      <c r="C58" s="510" t="s">
        <v>135</v>
      </c>
      <c r="D58" s="105"/>
      <c r="E58" s="105"/>
      <c r="F58" s="106"/>
      <c r="U58" s="83"/>
      <c r="V58" s="83"/>
    </row>
    <row r="59" spans="1:33" s="76" customFormat="1" ht="12.75" customHeight="1">
      <c r="A59" s="519"/>
      <c r="B59" s="86" t="s">
        <v>28</v>
      </c>
      <c r="C59" s="511" t="s">
        <v>214</v>
      </c>
      <c r="D59" s="109"/>
      <c r="E59" s="109"/>
      <c r="F59" s="110"/>
      <c r="U59" s="83"/>
      <c r="V59" s="83"/>
    </row>
    <row r="60" spans="1:33" s="76" customFormat="1" ht="12.75" customHeight="1">
      <c r="A60" s="520"/>
      <c r="B60" s="78"/>
      <c r="C60" s="78"/>
      <c r="D60" s="83"/>
      <c r="F60" s="83"/>
      <c r="G60" s="83"/>
      <c r="H60" s="83"/>
      <c r="I60" s="83"/>
      <c r="J60" s="83"/>
      <c r="K60" s="83"/>
      <c r="L60" s="83"/>
      <c r="M60" s="83"/>
      <c r="N60" s="83"/>
      <c r="O60" s="83"/>
      <c r="P60" s="83"/>
      <c r="Q60" s="83"/>
      <c r="R60" s="83"/>
      <c r="S60" s="83"/>
      <c r="T60" s="83"/>
      <c r="U60" s="83"/>
      <c r="V60" s="83"/>
    </row>
    <row r="61" spans="1:33" s="76" customFormat="1">
      <c r="A61" s="540" t="s">
        <v>96</v>
      </c>
      <c r="B61" s="540"/>
      <c r="C61" s="540"/>
      <c r="D61" s="540"/>
      <c r="E61" s="540"/>
      <c r="F61" s="540"/>
      <c r="G61" s="540"/>
      <c r="H61" s="540"/>
      <c r="I61" s="540"/>
      <c r="J61" s="540"/>
      <c r="K61" s="540"/>
      <c r="L61" s="540"/>
      <c r="M61" s="540"/>
      <c r="N61" s="540"/>
      <c r="O61" s="540"/>
      <c r="P61" s="540"/>
      <c r="Q61" s="540"/>
      <c r="R61" s="540"/>
      <c r="S61" s="540"/>
      <c r="T61" s="540"/>
      <c r="U61" s="540"/>
      <c r="V61" s="540"/>
    </row>
    <row r="62" spans="1:33" s="76" customFormat="1">
      <c r="A62" s="539" t="s">
        <v>97</v>
      </c>
      <c r="B62" s="539"/>
      <c r="C62" s="539"/>
      <c r="D62" s="539"/>
      <c r="E62" s="539"/>
      <c r="F62" s="539"/>
      <c r="G62" s="539"/>
      <c r="H62" s="539"/>
      <c r="I62" s="539"/>
      <c r="J62" s="539"/>
      <c r="K62" s="539"/>
      <c r="L62" s="539"/>
      <c r="M62" s="539"/>
      <c r="N62" s="539"/>
      <c r="O62" s="539"/>
      <c r="P62" s="539"/>
      <c r="Q62" s="539"/>
      <c r="R62" s="539"/>
      <c r="S62" s="539"/>
      <c r="T62" s="539"/>
      <c r="U62" s="539"/>
      <c r="V62" s="539"/>
    </row>
    <row r="63" spans="1:33" s="76" customFormat="1" ht="22.5" customHeight="1">
      <c r="A63" s="521" t="s">
        <v>98</v>
      </c>
      <c r="B63" s="177"/>
      <c r="C63" s="512"/>
      <c r="D63" s="177"/>
      <c r="E63" s="177"/>
      <c r="F63" s="177"/>
      <c r="G63" s="177"/>
      <c r="H63" s="177"/>
      <c r="I63" s="177"/>
      <c r="J63" s="177"/>
      <c r="K63" s="177"/>
      <c r="L63" s="177"/>
      <c r="M63" s="177"/>
      <c r="N63" s="177"/>
      <c r="O63" s="177"/>
      <c r="P63" s="177"/>
      <c r="Q63" s="177"/>
      <c r="R63" s="177"/>
      <c r="S63" s="177"/>
      <c r="T63" s="177"/>
      <c r="U63" s="177"/>
      <c r="V63" s="177"/>
    </row>
    <row r="64" spans="1:33" s="76" customFormat="1" ht="50.25" customHeight="1">
      <c r="A64" s="539" t="s">
        <v>238</v>
      </c>
      <c r="B64" s="539"/>
      <c r="C64" s="539"/>
      <c r="D64" s="539"/>
      <c r="E64" s="539"/>
      <c r="F64" s="539"/>
      <c r="G64" s="539"/>
      <c r="H64" s="539"/>
      <c r="I64" s="539"/>
      <c r="J64" s="539"/>
      <c r="K64" s="539"/>
      <c r="L64" s="539"/>
      <c r="M64" s="539"/>
      <c r="N64" s="539"/>
      <c r="O64" s="539"/>
      <c r="P64" s="539"/>
      <c r="Q64" s="539"/>
      <c r="R64" s="539"/>
      <c r="S64" s="539"/>
      <c r="T64" s="539"/>
      <c r="U64" s="539"/>
      <c r="V64" s="539"/>
      <c r="W64" s="83"/>
      <c r="X64" s="83"/>
      <c r="Y64" s="83"/>
      <c r="Z64" s="83"/>
      <c r="AA64" s="83"/>
      <c r="AB64" s="83"/>
      <c r="AC64" s="83"/>
      <c r="AD64" s="83"/>
      <c r="AE64" s="83"/>
      <c r="AF64" s="83"/>
      <c r="AG64" s="83"/>
    </row>
    <row r="65" spans="1:33" s="76" customFormat="1" ht="22.5" customHeight="1">
      <c r="A65" s="539" t="s">
        <v>226</v>
      </c>
      <c r="B65" s="539"/>
      <c r="C65" s="539"/>
      <c r="D65" s="539"/>
      <c r="E65" s="539"/>
      <c r="F65" s="539"/>
      <c r="G65" s="539"/>
      <c r="H65" s="539"/>
      <c r="I65" s="539"/>
      <c r="J65" s="539"/>
      <c r="K65" s="539"/>
      <c r="L65" s="539"/>
      <c r="M65" s="539"/>
      <c r="N65" s="539"/>
      <c r="O65" s="539"/>
      <c r="P65" s="539"/>
      <c r="Q65" s="539"/>
      <c r="R65" s="539"/>
      <c r="S65" s="539"/>
      <c r="T65" s="539"/>
      <c r="U65" s="539"/>
      <c r="V65" s="539"/>
      <c r="W65" s="83"/>
      <c r="X65" s="83"/>
      <c r="Y65" s="83"/>
      <c r="Z65" s="83"/>
      <c r="AA65" s="83"/>
      <c r="AB65" s="83"/>
      <c r="AC65" s="83"/>
      <c r="AD65" s="83"/>
      <c r="AE65" s="83"/>
      <c r="AF65" s="83"/>
      <c r="AG65" s="83"/>
    </row>
    <row r="66" spans="1:33" s="76" customFormat="1" ht="35.25" customHeight="1">
      <c r="A66" s="539" t="s">
        <v>227</v>
      </c>
      <c r="B66" s="539"/>
      <c r="C66" s="539"/>
      <c r="D66" s="539"/>
      <c r="E66" s="539"/>
      <c r="F66" s="539"/>
      <c r="G66" s="539"/>
      <c r="H66" s="539"/>
      <c r="I66" s="539"/>
      <c r="J66" s="539"/>
      <c r="K66" s="539"/>
      <c r="L66" s="539"/>
      <c r="M66" s="539"/>
      <c r="N66" s="539"/>
      <c r="O66" s="539"/>
      <c r="P66" s="539"/>
      <c r="Q66" s="539"/>
      <c r="R66" s="539"/>
      <c r="S66" s="539"/>
      <c r="T66" s="539"/>
      <c r="U66" s="539"/>
      <c r="V66" s="539"/>
      <c r="W66" s="83"/>
      <c r="X66" s="83"/>
      <c r="Y66" s="83"/>
      <c r="Z66" s="83"/>
      <c r="AA66" s="83"/>
      <c r="AB66" s="83"/>
      <c r="AC66" s="83"/>
      <c r="AD66" s="83"/>
      <c r="AE66" s="83"/>
      <c r="AF66" s="83"/>
      <c r="AG66" s="83"/>
    </row>
    <row r="67" spans="1:33" s="76" customFormat="1" ht="65.25" customHeight="1">
      <c r="A67" s="539" t="s">
        <v>228</v>
      </c>
      <c r="B67" s="539"/>
      <c r="C67" s="539"/>
      <c r="D67" s="539"/>
      <c r="E67" s="539"/>
      <c r="F67" s="539"/>
      <c r="G67" s="539"/>
      <c r="H67" s="539"/>
      <c r="I67" s="539"/>
      <c r="J67" s="539"/>
      <c r="K67" s="539"/>
      <c r="L67" s="539"/>
      <c r="M67" s="539"/>
      <c r="N67" s="539"/>
      <c r="O67" s="539"/>
      <c r="P67" s="539"/>
      <c r="Q67" s="539"/>
      <c r="R67" s="539"/>
      <c r="S67" s="539"/>
      <c r="T67" s="539"/>
      <c r="U67" s="539"/>
      <c r="V67" s="539"/>
      <c r="W67" s="83"/>
      <c r="X67" s="83"/>
      <c r="Y67" s="83"/>
      <c r="Z67" s="83"/>
      <c r="AA67" s="83"/>
      <c r="AB67" s="83"/>
      <c r="AC67" s="83"/>
      <c r="AD67" s="83"/>
      <c r="AE67" s="83"/>
      <c r="AF67" s="83"/>
      <c r="AG67" s="83"/>
    </row>
    <row r="68" spans="1:33" s="76" customFormat="1" ht="132" customHeight="1">
      <c r="A68" s="539" t="s">
        <v>229</v>
      </c>
      <c r="B68" s="539"/>
      <c r="C68" s="539"/>
      <c r="D68" s="539"/>
      <c r="E68" s="539"/>
      <c r="F68" s="539"/>
      <c r="G68" s="539"/>
      <c r="H68" s="539"/>
      <c r="I68" s="539"/>
      <c r="J68" s="539"/>
      <c r="K68" s="539"/>
      <c r="L68" s="539"/>
      <c r="M68" s="539"/>
      <c r="N68" s="539"/>
      <c r="O68" s="539"/>
      <c r="P68" s="539"/>
      <c r="Q68" s="539"/>
      <c r="R68" s="539"/>
      <c r="S68" s="539"/>
      <c r="T68" s="539"/>
      <c r="U68" s="539"/>
      <c r="V68" s="539"/>
      <c r="W68" s="83"/>
      <c r="X68" s="83"/>
      <c r="Y68" s="83"/>
      <c r="Z68" s="83"/>
      <c r="AA68" s="83"/>
      <c r="AB68" s="83"/>
      <c r="AC68" s="83"/>
      <c r="AD68" s="83"/>
      <c r="AE68" s="83"/>
      <c r="AF68" s="83"/>
      <c r="AG68" s="83"/>
    </row>
    <row r="69" spans="1:33" s="76" customFormat="1" ht="50.25" customHeight="1">
      <c r="A69" s="539" t="s">
        <v>230</v>
      </c>
      <c r="B69" s="539"/>
      <c r="C69" s="539"/>
      <c r="D69" s="539"/>
      <c r="E69" s="539"/>
      <c r="F69" s="539"/>
      <c r="G69" s="539"/>
      <c r="H69" s="539"/>
      <c r="I69" s="539"/>
      <c r="J69" s="539"/>
      <c r="K69" s="539"/>
      <c r="L69" s="539"/>
      <c r="M69" s="539"/>
      <c r="N69" s="539"/>
      <c r="O69" s="539"/>
      <c r="P69" s="539"/>
      <c r="Q69" s="539"/>
      <c r="R69" s="539"/>
      <c r="S69" s="539"/>
      <c r="T69" s="539"/>
      <c r="U69" s="539"/>
      <c r="V69" s="539"/>
      <c r="W69" s="83"/>
      <c r="X69" s="83"/>
      <c r="Y69" s="83"/>
      <c r="Z69" s="83"/>
      <c r="AA69" s="83"/>
      <c r="AB69" s="83"/>
      <c r="AC69" s="83"/>
      <c r="AD69" s="83"/>
      <c r="AE69" s="83"/>
      <c r="AF69" s="83"/>
      <c r="AG69" s="83"/>
    </row>
    <row r="70" spans="1:33" s="76" customFormat="1" ht="25.5" customHeight="1">
      <c r="A70" s="542" t="s">
        <v>99</v>
      </c>
      <c r="B70" s="542"/>
      <c r="C70" s="542"/>
      <c r="D70" s="542"/>
      <c r="E70" s="542"/>
      <c r="F70" s="542"/>
      <c r="G70" s="542"/>
      <c r="H70" s="542"/>
      <c r="I70" s="542"/>
      <c r="J70" s="542"/>
      <c r="K70" s="542"/>
      <c r="L70" s="542"/>
      <c r="M70" s="542"/>
      <c r="N70" s="542"/>
      <c r="O70" s="542"/>
      <c r="P70" s="542"/>
      <c r="Q70" s="542"/>
      <c r="R70" s="542"/>
      <c r="S70" s="542"/>
      <c r="T70" s="542"/>
      <c r="U70" s="542"/>
      <c r="V70" s="542"/>
    </row>
    <row r="71" spans="1:33" ht="25.5" customHeight="1">
      <c r="A71" s="543" t="s">
        <v>262</v>
      </c>
      <c r="B71" s="543"/>
      <c r="C71" s="543"/>
      <c r="D71" s="543"/>
      <c r="E71" s="543"/>
      <c r="F71" s="543"/>
      <c r="G71" s="543"/>
      <c r="H71" s="543"/>
      <c r="I71" s="543"/>
      <c r="J71" s="543"/>
      <c r="K71" s="543"/>
      <c r="L71" s="543"/>
      <c r="M71" s="543"/>
      <c r="N71" s="543"/>
      <c r="O71" s="543"/>
      <c r="P71" s="543"/>
      <c r="Q71" s="543"/>
      <c r="R71" s="543"/>
      <c r="S71" s="543"/>
      <c r="T71" s="543"/>
      <c r="U71" s="543"/>
      <c r="V71" s="543"/>
    </row>
    <row r="72" spans="1:33" ht="25.5" customHeight="1">
      <c r="A72" s="543" t="s">
        <v>137</v>
      </c>
      <c r="B72" s="543"/>
      <c r="C72" s="543"/>
      <c r="D72" s="543"/>
      <c r="E72" s="543"/>
      <c r="F72" s="543"/>
      <c r="G72" s="543"/>
      <c r="H72" s="543"/>
      <c r="I72" s="543"/>
      <c r="J72" s="543"/>
      <c r="K72" s="543"/>
      <c r="L72" s="543"/>
      <c r="M72" s="543"/>
      <c r="N72" s="543"/>
      <c r="O72" s="543"/>
      <c r="P72" s="543"/>
      <c r="Q72" s="543"/>
      <c r="R72" s="543"/>
      <c r="S72" s="543"/>
      <c r="T72" s="543"/>
      <c r="U72" s="543"/>
      <c r="V72" s="543"/>
    </row>
    <row r="73" spans="1:33" ht="30" customHeight="1">
      <c r="A73" s="543" t="s">
        <v>138</v>
      </c>
      <c r="B73" s="543"/>
      <c r="C73" s="543"/>
      <c r="D73" s="543"/>
      <c r="E73" s="543"/>
      <c r="F73" s="543"/>
      <c r="G73" s="543"/>
      <c r="H73" s="543"/>
      <c r="I73" s="543"/>
      <c r="J73" s="543"/>
      <c r="K73" s="543"/>
      <c r="L73" s="543"/>
      <c r="M73" s="543"/>
      <c r="N73" s="543"/>
      <c r="O73" s="543"/>
      <c r="P73" s="543"/>
      <c r="Q73" s="543"/>
      <c r="R73" s="543"/>
      <c r="S73" s="543"/>
      <c r="T73" s="543"/>
      <c r="U73" s="543"/>
      <c r="V73" s="543"/>
    </row>
    <row r="74" spans="1:33" ht="30" customHeight="1">
      <c r="A74" s="543" t="s">
        <v>139</v>
      </c>
      <c r="B74" s="543"/>
      <c r="C74" s="543"/>
      <c r="D74" s="543"/>
      <c r="E74" s="543"/>
      <c r="F74" s="543"/>
      <c r="G74" s="543"/>
      <c r="H74" s="543"/>
      <c r="I74" s="543"/>
      <c r="J74" s="543"/>
      <c r="K74" s="543"/>
      <c r="L74" s="543"/>
      <c r="M74" s="543"/>
      <c r="N74" s="543"/>
      <c r="O74" s="543"/>
      <c r="P74" s="543"/>
      <c r="Q74" s="543"/>
      <c r="R74" s="543"/>
      <c r="S74" s="543"/>
      <c r="T74" s="543"/>
      <c r="U74" s="543"/>
      <c r="V74" s="543"/>
    </row>
    <row r="75" spans="1:33" ht="25.5" customHeight="1">
      <c r="A75" s="543" t="s">
        <v>140</v>
      </c>
      <c r="B75" s="543"/>
      <c r="C75" s="543"/>
      <c r="D75" s="543"/>
      <c r="E75" s="543"/>
      <c r="F75" s="543"/>
      <c r="G75" s="543"/>
      <c r="H75" s="543"/>
      <c r="I75" s="543"/>
      <c r="J75" s="543"/>
      <c r="K75" s="543"/>
      <c r="L75" s="543"/>
      <c r="M75" s="543"/>
      <c r="N75" s="543"/>
      <c r="O75" s="543"/>
      <c r="P75" s="543"/>
      <c r="Q75" s="543"/>
      <c r="R75" s="543"/>
      <c r="S75" s="543"/>
      <c r="T75" s="543"/>
      <c r="U75" s="543"/>
      <c r="V75" s="543"/>
    </row>
    <row r="76" spans="1:33" s="76" customFormat="1" ht="20.25" customHeight="1">
      <c r="A76" s="540" t="s">
        <v>217</v>
      </c>
      <c r="B76" s="540"/>
      <c r="C76" s="540"/>
      <c r="D76" s="540"/>
      <c r="E76" s="540"/>
      <c r="F76" s="540"/>
      <c r="G76" s="540"/>
      <c r="H76" s="540"/>
      <c r="I76" s="540"/>
      <c r="J76" s="540"/>
      <c r="K76" s="540"/>
      <c r="L76" s="540"/>
      <c r="M76" s="540"/>
      <c r="N76" s="540"/>
      <c r="O76" s="540"/>
      <c r="P76" s="540"/>
      <c r="Q76" s="540"/>
      <c r="R76" s="540"/>
      <c r="S76" s="540"/>
      <c r="T76" s="540"/>
      <c r="U76" s="540"/>
      <c r="V76" s="540"/>
    </row>
    <row r="77" spans="1:33" ht="48" customHeight="1">
      <c r="A77" s="543" t="s">
        <v>187</v>
      </c>
      <c r="B77" s="543"/>
      <c r="C77" s="543"/>
      <c r="D77" s="543"/>
      <c r="E77" s="543"/>
      <c r="F77" s="543"/>
      <c r="G77" s="543"/>
      <c r="H77" s="543"/>
      <c r="I77" s="543"/>
      <c r="J77" s="543"/>
      <c r="K77" s="543"/>
      <c r="L77" s="543"/>
      <c r="M77" s="543"/>
      <c r="N77" s="543"/>
      <c r="O77" s="543"/>
      <c r="P77" s="543"/>
      <c r="Q77" s="543"/>
      <c r="R77" s="543"/>
      <c r="S77" s="543"/>
      <c r="T77" s="543"/>
      <c r="U77" s="543"/>
      <c r="V77" s="543"/>
    </row>
    <row r="78" spans="1:33" ht="48" customHeight="1">
      <c r="A78" s="543" t="s">
        <v>141</v>
      </c>
      <c r="B78" s="543"/>
      <c r="C78" s="543"/>
      <c r="D78" s="543"/>
      <c r="E78" s="543"/>
      <c r="F78" s="543"/>
      <c r="G78" s="543"/>
      <c r="H78" s="543"/>
      <c r="I78" s="543"/>
      <c r="J78" s="543"/>
      <c r="K78" s="543"/>
      <c r="L78" s="543"/>
      <c r="M78" s="543"/>
      <c r="N78" s="543"/>
      <c r="O78" s="543"/>
      <c r="P78" s="543"/>
      <c r="Q78" s="543"/>
      <c r="R78" s="543"/>
      <c r="S78" s="543"/>
      <c r="T78" s="543"/>
      <c r="U78" s="543"/>
      <c r="V78" s="543"/>
    </row>
    <row r="79" spans="1:33" ht="58.5" customHeight="1">
      <c r="A79" s="543" t="s">
        <v>188</v>
      </c>
      <c r="B79" s="543"/>
      <c r="C79" s="543"/>
      <c r="D79" s="543"/>
      <c r="E79" s="543"/>
      <c r="F79" s="543"/>
      <c r="G79" s="543"/>
      <c r="H79" s="543"/>
      <c r="I79" s="543"/>
      <c r="J79" s="543"/>
      <c r="K79" s="543"/>
      <c r="L79" s="543"/>
      <c r="M79" s="543"/>
      <c r="N79" s="543"/>
      <c r="O79" s="543"/>
      <c r="P79" s="543"/>
      <c r="Q79" s="543"/>
      <c r="R79" s="543"/>
      <c r="S79" s="543"/>
      <c r="T79" s="543"/>
      <c r="U79" s="543"/>
      <c r="V79" s="543"/>
    </row>
    <row r="80" spans="1:33" ht="25.5" customHeight="1">
      <c r="A80" s="543" t="s">
        <v>189</v>
      </c>
      <c r="B80" s="543"/>
      <c r="C80" s="543"/>
      <c r="D80" s="543"/>
      <c r="E80" s="543"/>
      <c r="F80" s="543"/>
      <c r="G80" s="543"/>
      <c r="H80" s="543"/>
      <c r="I80" s="543"/>
      <c r="J80" s="543"/>
      <c r="K80" s="543"/>
      <c r="L80" s="543"/>
      <c r="M80" s="543"/>
      <c r="N80" s="543"/>
      <c r="O80" s="543"/>
      <c r="P80" s="543"/>
      <c r="Q80" s="543"/>
      <c r="R80" s="543"/>
      <c r="S80" s="543"/>
      <c r="T80" s="543"/>
      <c r="U80" s="543"/>
      <c r="V80" s="543"/>
    </row>
    <row r="81" spans="1:22" ht="42" customHeight="1">
      <c r="A81" s="543" t="s">
        <v>190</v>
      </c>
      <c r="B81" s="543"/>
      <c r="C81" s="543"/>
      <c r="D81" s="543"/>
      <c r="E81" s="543"/>
      <c r="F81" s="543"/>
      <c r="G81" s="543"/>
      <c r="H81" s="543"/>
      <c r="I81" s="543"/>
      <c r="J81" s="543"/>
      <c r="K81" s="543"/>
      <c r="L81" s="543"/>
      <c r="M81" s="543"/>
      <c r="N81" s="543"/>
      <c r="O81" s="543"/>
      <c r="P81" s="543"/>
      <c r="Q81" s="543"/>
      <c r="R81" s="543"/>
      <c r="S81" s="543"/>
      <c r="T81" s="543"/>
      <c r="U81" s="543"/>
      <c r="V81" s="543"/>
    </row>
    <row r="82" spans="1:22" ht="25.5" customHeight="1">
      <c r="A82" s="543" t="s">
        <v>185</v>
      </c>
      <c r="B82" s="543"/>
      <c r="C82" s="543"/>
      <c r="D82" s="543"/>
      <c r="E82" s="543"/>
      <c r="F82" s="543"/>
      <c r="G82" s="543"/>
      <c r="H82" s="543"/>
      <c r="I82" s="543"/>
      <c r="J82" s="543"/>
      <c r="K82" s="543"/>
      <c r="L82" s="543"/>
      <c r="M82" s="543"/>
      <c r="N82" s="543"/>
      <c r="O82" s="543"/>
      <c r="P82" s="543"/>
      <c r="Q82" s="543"/>
      <c r="R82" s="543"/>
      <c r="S82" s="543"/>
      <c r="T82" s="543"/>
      <c r="U82" s="543"/>
      <c r="V82" s="543"/>
    </row>
    <row r="83" spans="1:22" ht="25.5" customHeight="1">
      <c r="A83" s="543" t="s">
        <v>181</v>
      </c>
      <c r="B83" s="543"/>
      <c r="C83" s="543"/>
      <c r="D83" s="543"/>
      <c r="E83" s="543"/>
      <c r="F83" s="543"/>
      <c r="G83" s="543"/>
      <c r="H83" s="543"/>
      <c r="I83" s="543"/>
      <c r="J83" s="543"/>
      <c r="K83" s="543"/>
      <c r="L83" s="543"/>
      <c r="M83" s="543"/>
      <c r="N83" s="543"/>
      <c r="O83" s="543"/>
      <c r="P83" s="543"/>
      <c r="Q83" s="543"/>
      <c r="R83" s="543"/>
      <c r="S83" s="543"/>
      <c r="T83" s="543"/>
      <c r="U83" s="543"/>
      <c r="V83" s="543"/>
    </row>
    <row r="84" spans="1:22" ht="25.5" customHeight="1">
      <c r="A84" s="543" t="s">
        <v>146</v>
      </c>
      <c r="B84" s="543"/>
      <c r="C84" s="543"/>
      <c r="D84" s="543"/>
      <c r="E84" s="543"/>
      <c r="F84" s="543"/>
      <c r="G84" s="543"/>
      <c r="H84" s="543"/>
      <c r="I84" s="543"/>
      <c r="J84" s="543"/>
      <c r="K84" s="543"/>
      <c r="L84" s="543"/>
      <c r="M84" s="543"/>
      <c r="N84" s="543"/>
      <c r="O84" s="543"/>
      <c r="P84" s="543"/>
      <c r="Q84" s="543"/>
      <c r="R84" s="543"/>
      <c r="S84" s="543"/>
      <c r="T84" s="543"/>
      <c r="U84" s="543"/>
      <c r="V84" s="543"/>
    </row>
    <row r="85" spans="1:22" ht="25.5" customHeight="1">
      <c r="A85" s="543" t="s">
        <v>186</v>
      </c>
      <c r="B85" s="543"/>
      <c r="C85" s="543"/>
      <c r="D85" s="543"/>
      <c r="E85" s="543"/>
      <c r="F85" s="543"/>
      <c r="G85" s="543"/>
      <c r="H85" s="543"/>
      <c r="I85" s="543"/>
      <c r="J85" s="543"/>
      <c r="K85" s="543"/>
      <c r="L85" s="543"/>
      <c r="M85" s="543"/>
      <c r="N85" s="543"/>
      <c r="O85" s="543"/>
      <c r="P85" s="543"/>
      <c r="Q85" s="543"/>
      <c r="R85" s="543"/>
      <c r="S85" s="543"/>
      <c r="T85" s="543"/>
      <c r="U85" s="543"/>
      <c r="V85" s="543"/>
    </row>
    <row r="86" spans="1:22" ht="25.5" customHeight="1">
      <c r="A86" s="543" t="s">
        <v>100</v>
      </c>
      <c r="B86" s="543"/>
      <c r="C86" s="543"/>
      <c r="D86" s="543"/>
      <c r="E86" s="543"/>
      <c r="F86" s="543"/>
      <c r="G86" s="543"/>
      <c r="H86" s="543"/>
      <c r="I86" s="543"/>
      <c r="J86" s="543"/>
      <c r="K86" s="543"/>
      <c r="L86" s="543"/>
      <c r="M86" s="543"/>
      <c r="N86" s="543"/>
      <c r="O86" s="543"/>
      <c r="P86" s="543"/>
      <c r="Q86" s="543"/>
      <c r="R86" s="543"/>
      <c r="S86" s="543"/>
      <c r="T86" s="543"/>
      <c r="U86" s="543"/>
      <c r="V86" s="543"/>
    </row>
    <row r="87" spans="1:22" s="40" customFormat="1" ht="35.25" customHeight="1">
      <c r="A87" s="544" t="s">
        <v>148</v>
      </c>
      <c r="B87" s="544"/>
      <c r="C87" s="544"/>
      <c r="D87" s="544"/>
      <c r="E87" s="544"/>
      <c r="F87" s="544"/>
      <c r="G87" s="544"/>
      <c r="H87" s="544"/>
      <c r="I87" s="544"/>
      <c r="J87" s="544"/>
      <c r="K87" s="544"/>
      <c r="L87" s="544"/>
      <c r="M87" s="544"/>
      <c r="N87" s="544"/>
      <c r="O87" s="544"/>
      <c r="P87" s="544"/>
      <c r="Q87" s="544"/>
      <c r="R87" s="544"/>
      <c r="S87" s="544"/>
      <c r="T87" s="544"/>
      <c r="U87" s="544"/>
      <c r="V87" s="544"/>
    </row>
    <row r="88" spans="1:22" ht="25.5" customHeight="1">
      <c r="A88" s="543" t="s">
        <v>149</v>
      </c>
      <c r="B88" s="543"/>
      <c r="C88" s="543"/>
      <c r="D88" s="543"/>
      <c r="E88" s="543"/>
      <c r="F88" s="543"/>
      <c r="G88" s="543"/>
      <c r="H88" s="543"/>
      <c r="I88" s="543"/>
      <c r="J88" s="543"/>
      <c r="K88" s="543"/>
      <c r="L88" s="543"/>
      <c r="M88" s="543"/>
      <c r="N88" s="543"/>
      <c r="O88" s="543"/>
      <c r="P88" s="543"/>
      <c r="Q88" s="543"/>
      <c r="R88" s="543"/>
      <c r="S88" s="543"/>
      <c r="T88" s="543"/>
      <c r="U88" s="543"/>
      <c r="V88" s="543"/>
    </row>
    <row r="89" spans="1:22" s="40" customFormat="1" ht="85.5" customHeight="1">
      <c r="A89" s="544" t="s">
        <v>101</v>
      </c>
      <c r="B89" s="544"/>
      <c r="C89" s="544"/>
      <c r="D89" s="544"/>
      <c r="E89" s="544"/>
      <c r="F89" s="544"/>
      <c r="G89" s="544"/>
      <c r="H89" s="544"/>
      <c r="I89" s="544"/>
      <c r="J89" s="544"/>
      <c r="K89" s="544"/>
      <c r="L89" s="544"/>
      <c r="M89" s="544"/>
      <c r="N89" s="544"/>
      <c r="O89" s="544"/>
      <c r="P89" s="544"/>
      <c r="Q89" s="544"/>
      <c r="R89" s="544"/>
      <c r="S89" s="544"/>
      <c r="T89" s="544"/>
      <c r="U89" s="544"/>
      <c r="V89" s="544"/>
    </row>
  </sheetData>
  <mergeCells count="37">
    <mergeCell ref="A89:V89"/>
    <mergeCell ref="A84:V84"/>
    <mergeCell ref="A85:V85"/>
    <mergeCell ref="A86:V86"/>
    <mergeCell ref="A81:V81"/>
    <mergeCell ref="A82:V82"/>
    <mergeCell ref="A83:V83"/>
    <mergeCell ref="A87:V87"/>
    <mergeCell ref="A88:V88"/>
    <mergeCell ref="A79:V79"/>
    <mergeCell ref="A80:V80"/>
    <mergeCell ref="A74:V74"/>
    <mergeCell ref="A75:V75"/>
    <mergeCell ref="A71:V71"/>
    <mergeCell ref="A72:V72"/>
    <mergeCell ref="A77:V77"/>
    <mergeCell ref="A78:V78"/>
    <mergeCell ref="A73:V73"/>
    <mergeCell ref="A76:V76"/>
    <mergeCell ref="A68:V68"/>
    <mergeCell ref="A69:V69"/>
    <mergeCell ref="A70:V70"/>
    <mergeCell ref="A47:V47"/>
    <mergeCell ref="A48:V48"/>
    <mergeCell ref="A49:V49"/>
    <mergeCell ref="A50:V50"/>
    <mergeCell ref="A61:V61"/>
    <mergeCell ref="A62:V62"/>
    <mergeCell ref="A64:V64"/>
    <mergeCell ref="A65:V65"/>
    <mergeCell ref="A66:V66"/>
    <mergeCell ref="A67:V67"/>
    <mergeCell ref="F3:G3"/>
    <mergeCell ref="I3:J3"/>
    <mergeCell ref="L3:M3"/>
    <mergeCell ref="O3:P3"/>
    <mergeCell ref="R3:S3"/>
  </mergeCells>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'2000'!Print_Area</vt:lpstr>
      <vt:lpstr>'2001'!Print_Area</vt:lpstr>
      <vt:lpstr>'2002'!Print_Area</vt:lpstr>
      <vt:lpstr>'2013'!Print_Area</vt:lpstr>
      <vt:lpstr>'2014'!Print_Area</vt:lpstr>
      <vt:lpstr>'2015'!Print_Area</vt:lpstr>
      <vt:lpstr>'2016'!Print_Area</vt:lpstr>
    </vt:vector>
  </TitlesOfParts>
  <Company>OCDE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SHARRATT Michael</cp:lastModifiedBy>
  <cp:lastPrinted>2015-06-02T15:57:04Z</cp:lastPrinted>
  <dcterms:created xsi:type="dcterms:W3CDTF">2002-07-02T10:06:38Z</dcterms:created>
  <dcterms:modified xsi:type="dcterms:W3CDTF">2017-04-10T13:21:42Z</dcterms:modified>
</cp:coreProperties>
</file>